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060" tabRatio="864" activeTab="0"/>
  </bookViews>
  <sheets>
    <sheet name="Summary" sheetId="1" r:id="rId1"/>
    <sheet name="Players" sheetId="2" r:id="rId2"/>
    <sheet name="Minors" sheetId="3" r:id="rId3"/>
    <sheet name="Adkisson" sheetId="4" r:id="rId4"/>
    <sheet name="Barton" sheetId="5" r:id="rId5"/>
    <sheet name="Biegler" sheetId="6" r:id="rId6"/>
    <sheet name="Cadmus" sheetId="7" r:id="rId7"/>
    <sheet name="Chaplin" sheetId="8" r:id="rId8"/>
    <sheet name="Chockalingam" sheetId="9" r:id="rId9"/>
    <sheet name="Fernald" sheetId="10" r:id="rId10"/>
    <sheet name="Jagot" sheetId="11" r:id="rId11"/>
    <sheet name="Konsul" sheetId="12" r:id="rId12"/>
    <sheet name="Kumar" sheetId="13" r:id="rId13"/>
    <sheet name="Rittenhouse" sheetId="14" r:id="rId14"/>
    <sheet name="Shepherd" sheetId="15" r:id="rId15"/>
    <sheet name="Uberoi" sheetId="16" r:id="rId16"/>
    <sheet name="Wilt" sheetId="17" r:id="rId17"/>
    <sheet name="WoodfordB" sheetId="18" r:id="rId18"/>
    <sheet name="WoodfordW" sheetId="19" r:id="rId19"/>
  </sheets>
  <definedNames/>
  <calcPr fullCalcOnLoad="1"/>
</workbook>
</file>

<file path=xl/sharedStrings.xml><?xml version="1.0" encoding="utf-8"?>
<sst xmlns="http://schemas.openxmlformats.org/spreadsheetml/2006/main" count="2958" uniqueCount="766">
  <si>
    <t>ACTIVE ROSTER</t>
  </si>
  <si>
    <t>Player</t>
  </si>
  <si>
    <t>Signed</t>
  </si>
  <si>
    <t>Salary</t>
  </si>
  <si>
    <t>Team</t>
  </si>
  <si>
    <t>Acqrd</t>
  </si>
  <si>
    <t>Waive</t>
  </si>
  <si>
    <t>Rob Barton</t>
  </si>
  <si>
    <t>Dave Cadmus</t>
  </si>
  <si>
    <t>Jim Rittenhouse</t>
  </si>
  <si>
    <t>Ben Woodford</t>
  </si>
  <si>
    <t>Bill Woodford</t>
  </si>
  <si>
    <t>Tax</t>
  </si>
  <si>
    <t>Pos</t>
  </si>
  <si>
    <t>Thru</t>
  </si>
  <si>
    <t>3B</t>
  </si>
  <si>
    <t>Stl</t>
  </si>
  <si>
    <t>SP</t>
  </si>
  <si>
    <t>1B</t>
  </si>
  <si>
    <t>OF</t>
  </si>
  <si>
    <t>Cle</t>
  </si>
  <si>
    <t>NYY</t>
  </si>
  <si>
    <t>Pit</t>
  </si>
  <si>
    <t>Atl</t>
  </si>
  <si>
    <t>Oak</t>
  </si>
  <si>
    <t>Hou</t>
  </si>
  <si>
    <t>SS</t>
  </si>
  <si>
    <t>Bos</t>
  </si>
  <si>
    <t>Sea</t>
  </si>
  <si>
    <t>ChC</t>
  </si>
  <si>
    <t>ChW</t>
  </si>
  <si>
    <t>C</t>
  </si>
  <si>
    <t>NYM</t>
  </si>
  <si>
    <t>SF</t>
  </si>
  <si>
    <t>Tex</t>
  </si>
  <si>
    <t>Tor</t>
  </si>
  <si>
    <t>Ari</t>
  </si>
  <si>
    <t>RP</t>
  </si>
  <si>
    <t>Phi</t>
  </si>
  <si>
    <t>Col</t>
  </si>
  <si>
    <t>2B</t>
  </si>
  <si>
    <t>BASEBALL  TEAM  SALARIES</t>
  </si>
  <si>
    <t>Mil</t>
  </si>
  <si>
    <t>KC</t>
  </si>
  <si>
    <t>SD</t>
  </si>
  <si>
    <t>Cin</t>
  </si>
  <si>
    <t>Min</t>
  </si>
  <si>
    <t>FA</t>
  </si>
  <si>
    <t>Det</t>
  </si>
  <si>
    <t>WAIVED PLAYER CONTRACTS</t>
  </si>
  <si>
    <t>Year</t>
  </si>
  <si>
    <t>Bal</t>
  </si>
  <si>
    <t>TB</t>
  </si>
  <si>
    <t>MINOR LEAGUE ROSTER</t>
  </si>
  <si>
    <t>Net</t>
  </si>
  <si>
    <t>Minors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</si>
  <si>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</si>
  <si>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</si>
  <si>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</si>
  <si>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</si>
  <si>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</si>
  <si>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</si>
  <si>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</si>
  <si>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</si>
  <si>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</si>
  <si>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</si>
  <si>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</si>
  <si>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</si>
  <si>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</si>
  <si>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</si>
  <si>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</si>
  <si>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</si>
  <si>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Tournament</t>
  </si>
  <si>
    <t>Total Points Prize Distribution</t>
  </si>
  <si>
    <t>John Adkisson</t>
  </si>
  <si>
    <t>Minor</t>
  </si>
  <si>
    <t>W</t>
  </si>
  <si>
    <t>Summary</t>
  </si>
  <si>
    <t>Active</t>
  </si>
  <si>
    <t>Waived</t>
  </si>
  <si>
    <t>Exempt</t>
  </si>
  <si>
    <t>Was</t>
  </si>
  <si>
    <t>--</t>
  </si>
  <si>
    <t>Mike Fernald</t>
  </si>
  <si>
    <t>---</t>
  </si>
  <si>
    <t>LAD</t>
  </si>
  <si>
    <t>Geoff Biegler</t>
  </si>
  <si>
    <t>K. Chockalingam</t>
  </si>
  <si>
    <t>LAA</t>
  </si>
  <si>
    <t>Cabrera, Melky</t>
  </si>
  <si>
    <t>Masterson, Justin</t>
  </si>
  <si>
    <t>Mani Kumar</t>
  </si>
  <si>
    <t>Tony Chaplin</t>
  </si>
  <si>
    <t>Michael Wilt</t>
  </si>
  <si>
    <t>Hardy, J.J.</t>
  </si>
  <si>
    <t>Peavy, Jake</t>
  </si>
  <si>
    <t>Rios, Alex</t>
  </si>
  <si>
    <t>Volquez, Edinson</t>
  </si>
  <si>
    <t>McLouth, Nate</t>
  </si>
  <si>
    <t>Anderson, Brett</t>
  </si>
  <si>
    <t>Perkins, Glen</t>
  </si>
  <si>
    <t>Beckham, Gordon</t>
  </si>
  <si>
    <t>Vik Uberoi</t>
  </si>
  <si>
    <t>Hosmer, Eric</t>
  </si>
  <si>
    <t>Morneau, Justin</t>
  </si>
  <si>
    <t>Ackley, Dustin</t>
  </si>
  <si>
    <t>Points</t>
  </si>
  <si>
    <t>Tourney</t>
  </si>
  <si>
    <t>Win</t>
  </si>
  <si>
    <t>Butler, Billy</t>
  </si>
  <si>
    <t>Rodriguez, Alex</t>
  </si>
  <si>
    <t>Upton, Justin</t>
  </si>
  <si>
    <t>Pedroia, Dustin</t>
  </si>
  <si>
    <t>Espinosa, Danny</t>
  </si>
  <si>
    <t>Cano, Robinson</t>
  </si>
  <si>
    <t>Tulowitzki, Troy</t>
  </si>
  <si>
    <t>Trout, Mike</t>
  </si>
  <si>
    <t>Soriano, Raphael</t>
  </si>
  <si>
    <t>Sanchez, Anibel</t>
  </si>
  <si>
    <t>Pelfrey, Mike</t>
  </si>
  <si>
    <t>Minor, Mike</t>
  </si>
  <si>
    <t>Young, Chris</t>
  </si>
  <si>
    <t>Jennings, Desmond</t>
  </si>
  <si>
    <t>Lester, Jon</t>
  </si>
  <si>
    <t>Papelbon, Jon</t>
  </si>
  <si>
    <t>Harper, Bryce</t>
  </si>
  <si>
    <t>Teheran, Julio</t>
  </si>
  <si>
    <t>Walker, Neil</t>
  </si>
  <si>
    <t>Nova, Ivan</t>
  </si>
  <si>
    <t>Arencibia, J.P.</t>
  </si>
  <si>
    <t>Chacin, Jhoulys</t>
  </si>
  <si>
    <t>Pineada, Michael</t>
  </si>
  <si>
    <t>Venters, Johnny</t>
  </si>
  <si>
    <t>Cain, Matt</t>
  </si>
  <si>
    <t>Happ, J.A.</t>
  </si>
  <si>
    <t>Lawrie, Brett</t>
  </si>
  <si>
    <t>Britton, Zach</t>
  </si>
  <si>
    <t>Wood, Travis</t>
  </si>
  <si>
    <t>Davis, Ike</t>
  </si>
  <si>
    <t>Walden, Jordan</t>
  </si>
  <si>
    <t>Valencia, Danny</t>
  </si>
  <si>
    <t>Cain, Lorenzo</t>
  </si>
  <si>
    <t>Bourjos, Peter</t>
  </si>
  <si>
    <t>Braden, Dallas</t>
  </si>
  <si>
    <t>Belt, Brandon</t>
  </si>
  <si>
    <t>Moreland, Mitch</t>
  </si>
  <si>
    <t>Lopez, Jose</t>
  </si>
  <si>
    <t>Marshall, Sean</t>
  </si>
  <si>
    <t>Miller, Shelby</t>
  </si>
  <si>
    <t>DeJesus, David</t>
  </si>
  <si>
    <t>Ka'aihue, Kila</t>
  </si>
  <si>
    <t>Crain, Jesse</t>
  </si>
  <si>
    <t>Willingham, Josh</t>
  </si>
  <si>
    <t>Drew, J.D.</t>
  </si>
  <si>
    <t>Conger, Hank</t>
  </si>
  <si>
    <t>Leake, Mike</t>
  </si>
  <si>
    <t>Brignac, Reid</t>
  </si>
  <si>
    <t>Colvin, Tyler</t>
  </si>
  <si>
    <t>Lyles, Jordan</t>
  </si>
  <si>
    <t>Matsui, Hideki</t>
  </si>
  <si>
    <t>Montero, Jesus</t>
  </si>
  <si>
    <t>Norris, Bud</t>
  </si>
  <si>
    <t>Boesch, Brennen</t>
  </si>
  <si>
    <t>Rosario, Wilin</t>
  </si>
  <si>
    <t>Luke Jagot</t>
  </si>
  <si>
    <t>Avila, Alex</t>
  </si>
  <si>
    <t>Gonzalez, Adrian</t>
  </si>
  <si>
    <t>Santana, Carlos</t>
  </si>
  <si>
    <t>Lee, Cliff</t>
  </si>
  <si>
    <t>McCutcheon, And</t>
  </si>
  <si>
    <t>Kipnis, Jason</t>
  </si>
  <si>
    <t>Banuelos, Manny</t>
  </si>
  <si>
    <t>Braun, Ryan</t>
  </si>
  <si>
    <t>Mesoraco, Devin</t>
  </si>
  <si>
    <t>Kemp, Matt</t>
  </si>
  <si>
    <t>Lind, Adam</t>
  </si>
  <si>
    <t>Cruz, Nelson</t>
  </si>
  <si>
    <t>Kershaw, Clayton</t>
  </si>
  <si>
    <t>Bauer, Trevor</t>
  </si>
  <si>
    <t>Votto, Joey</t>
  </si>
  <si>
    <t>Taillon, Jameson</t>
  </si>
  <si>
    <t>Luebke, Cory</t>
  </si>
  <si>
    <t>Machado, Manny</t>
  </si>
  <si>
    <t>Roberts, Ryan</t>
  </si>
  <si>
    <t>Bonifacio, Emilo</t>
  </si>
  <si>
    <t>Hart, Corey</t>
  </si>
  <si>
    <t>Pence, Hunter</t>
  </si>
  <si>
    <t>Bundy, Dylan</t>
  </si>
  <si>
    <t>Ramos, Wilson</t>
  </si>
  <si>
    <t>Morse, Michael</t>
  </si>
  <si>
    <t>Beachy, Brandon</t>
  </si>
  <si>
    <t>Profar, Jurickson</t>
  </si>
  <si>
    <t>Lowrie, Jed</t>
  </si>
  <si>
    <t>Morrow, Brandon</t>
  </si>
  <si>
    <t>Helton, Todd</t>
  </si>
  <si>
    <t>Duda, Lucas</t>
  </si>
  <si>
    <t>Cole, Gerrit</t>
  </si>
  <si>
    <t>Crisp, Coco</t>
  </si>
  <si>
    <t>Myers, Brett</t>
  </si>
  <si>
    <t>Vogelsong, Ryan</t>
  </si>
  <si>
    <t>Hultzen, Danny</t>
  </si>
  <si>
    <t>Rasmus, Colby</t>
  </si>
  <si>
    <t>D'Arnaud, Travis</t>
  </si>
  <si>
    <t>Trumbo, Mark</t>
  </si>
  <si>
    <t>Harrison, Matt</t>
  </si>
  <si>
    <t>Carp, Mike</t>
  </si>
  <si>
    <t>Hochevar, Luke</t>
  </si>
  <si>
    <t>Joyce, Matt</t>
  </si>
  <si>
    <t>Hernandez, David</t>
  </si>
  <si>
    <t>Skaggs, Tyler</t>
  </si>
  <si>
    <t>Martinez, Carlos</t>
  </si>
  <si>
    <t>Presley, Alex</t>
  </si>
  <si>
    <t>Cozart, Zack</t>
  </si>
  <si>
    <t>Rendon, Anthony</t>
  </si>
  <si>
    <t>Bastardo, Antonio</t>
  </si>
  <si>
    <t>Niese, Jonathan</t>
  </si>
  <si>
    <t>Ross, Cody</t>
  </si>
  <si>
    <t>Paredes, Jimmy</t>
  </si>
  <si>
    <t>Pomeranz, Drew</t>
  </si>
  <si>
    <t>Rizzo, Anthony</t>
  </si>
  <si>
    <t>Worley, Vance</t>
  </si>
  <si>
    <t>Crow, Aaron</t>
  </si>
  <si>
    <t>Alvarez, Henderson</t>
  </si>
  <si>
    <t>Betances, Dellin</t>
  </si>
  <si>
    <t>Martinez, J.D.</t>
  </si>
  <si>
    <t>Samardzija, Jeff</t>
  </si>
  <si>
    <t>Mia</t>
  </si>
  <si>
    <t>Ogando, Alexi</t>
  </si>
  <si>
    <t>Giavotella, Johnny</t>
  </si>
  <si>
    <t>De Aza, Alejandro</t>
  </si>
  <si>
    <t>Arenado, Nolan</t>
  </si>
  <si>
    <t>Wieters, Matt</t>
  </si>
  <si>
    <t>Goldschmidt, Paul</t>
  </si>
  <si>
    <t>Jones, Adam</t>
  </si>
  <si>
    <t>Cabrera, Adsrubal</t>
  </si>
  <si>
    <t>Hamels, Cole</t>
  </si>
  <si>
    <t>Romo, Sergio</t>
  </si>
  <si>
    <t>Cabrera, Miguel</t>
  </si>
  <si>
    <t>Rodney, Fernando</t>
  </si>
  <si>
    <t>Tavares, Oscar</t>
  </si>
  <si>
    <t>Ramirez, Hanley</t>
  </si>
  <si>
    <t>Uggla, Dan</t>
  </si>
  <si>
    <t>Pujols, Albert</t>
  </si>
  <si>
    <t>Strasburg, Stephen</t>
  </si>
  <si>
    <t>Sandoval, Pablo</t>
  </si>
  <si>
    <t>Perez, Chris</t>
  </si>
  <si>
    <t>Hamilton, Billy</t>
  </si>
  <si>
    <t>Altuve, Jose</t>
  </si>
  <si>
    <t>Cueto, Johnny</t>
  </si>
  <si>
    <t>Freeman, Freddie</t>
  </si>
  <si>
    <t>Reyes, Jose</t>
  </si>
  <si>
    <t>Holliday, Matt</t>
  </si>
  <si>
    <t>Walker, Taijuan</t>
  </si>
  <si>
    <t>Cespedes, Yoenis</t>
  </si>
  <si>
    <t>Yelich, Christian</t>
  </si>
  <si>
    <t>Murphy, David</t>
  </si>
  <si>
    <t>Hughes, Phil</t>
  </si>
  <si>
    <t>Molina, Yadier</t>
  </si>
  <si>
    <t>Scherzer, Max</t>
  </si>
  <si>
    <t>Wainwright, Adam</t>
  </si>
  <si>
    <t>Plouffe, Trevor</t>
  </si>
  <si>
    <t>Crawford, Carl</t>
  </si>
  <si>
    <t>Davis, Chris</t>
  </si>
  <si>
    <t>Olt, Mike</t>
  </si>
  <si>
    <t>Jackson, Austin</t>
  </si>
  <si>
    <t>Moustakis, Mike</t>
  </si>
  <si>
    <t>Fister, Doug</t>
  </si>
  <si>
    <t>Andrus, Elvis</t>
  </si>
  <si>
    <t>Broxton, Jonathon</t>
  </si>
  <si>
    <t>Frieri, Ernesto</t>
  </si>
  <si>
    <t>Shields, James</t>
  </si>
  <si>
    <t>Sale, Chris</t>
  </si>
  <si>
    <t>Wilson, C.J.</t>
  </si>
  <si>
    <t>Fernandez, Jose</t>
  </si>
  <si>
    <t>Seager, Kyle</t>
  </si>
  <si>
    <t>Choo, Shin Soo</t>
  </si>
  <si>
    <t>Gomez, Carlos</t>
  </si>
  <si>
    <t>Perez, Salvador</t>
  </si>
  <si>
    <t>Wilhelmsen, Tom</t>
  </si>
  <si>
    <t>Weeks, Jemile</t>
  </si>
  <si>
    <t>Kennedy, Ian</t>
  </si>
  <si>
    <t>Aoki, Nori</t>
  </si>
  <si>
    <t>Medlan, Kris</t>
  </si>
  <si>
    <t>Zimmer, Kyle</t>
  </si>
  <si>
    <t>Castellanos, Nick</t>
  </si>
  <si>
    <t>Craig, Allen</t>
  </si>
  <si>
    <t>Gordon, Alex</t>
  </si>
  <si>
    <t>Doumit, Ryan</t>
  </si>
  <si>
    <t>Teixeira, Mark</t>
  </si>
  <si>
    <t>Victorino, Shane</t>
  </si>
  <si>
    <t>Lindor, Francisco</t>
  </si>
  <si>
    <t>Bradley, Archie</t>
  </si>
  <si>
    <t>Harvey, Matt</t>
  </si>
  <si>
    <t>Ramirez, Alexi</t>
  </si>
  <si>
    <t>Morales, Kendry</t>
  </si>
  <si>
    <t>Revere, Ben</t>
  </si>
  <si>
    <t>Parnell, Bobby</t>
  </si>
  <si>
    <t>Lynn, Lance</t>
  </si>
  <si>
    <t>Milone, Tommy</t>
  </si>
  <si>
    <t>Lincecum, Tim</t>
  </si>
  <si>
    <t>Kuroda, Hiroki</t>
  </si>
  <si>
    <t>Eaton, Adam</t>
  </si>
  <si>
    <t>Parker, Jarrod</t>
  </si>
  <si>
    <t>Rondon, Bruce</t>
  </si>
  <si>
    <t>Bailey, Homer</t>
  </si>
  <si>
    <t>Harrell, Lucas</t>
  </si>
  <si>
    <t>Coke, Phil</t>
  </si>
  <si>
    <t>Middlebrooks, Will</t>
  </si>
  <si>
    <t>Gyorko, Jed</t>
  </si>
  <si>
    <t>Pestano, Vinnie</t>
  </si>
  <si>
    <t>Odorizzi, Jake</t>
  </si>
  <si>
    <t>Alburquerque, Al</t>
  </si>
  <si>
    <t>Simmons, Andrelton</t>
  </si>
  <si>
    <t>Syndergaard, Noah</t>
  </si>
  <si>
    <t>O'Flaherty, Eric</t>
  </si>
  <si>
    <t>Zunino, Mike</t>
  </si>
  <si>
    <t>Segura, Jean</t>
  </si>
  <si>
    <t>Cobb, Alex</t>
  </si>
  <si>
    <t>Rosenthal, Trevor</t>
  </si>
  <si>
    <t>Ellis, A.J.</t>
  </si>
  <si>
    <t>Moss, Brandon</t>
  </si>
  <si>
    <t>Jones, Garrett</t>
  </si>
  <si>
    <t>Bradley, Jackie</t>
  </si>
  <si>
    <t>Sano, Miguel</t>
  </si>
  <si>
    <t>Bogaerts, Xander</t>
  </si>
  <si>
    <t>Flowers, Tyler</t>
  </si>
  <si>
    <t>Rutledge, Josh</t>
  </si>
  <si>
    <t>Carpenter, Matt</t>
  </si>
  <si>
    <t>Frazier, Todd</t>
  </si>
  <si>
    <t>Gausman, Kevin</t>
  </si>
  <si>
    <t>Miley, Wade</t>
  </si>
  <si>
    <t>Puig, Yasiel</t>
  </si>
  <si>
    <t>Baez, Javier</t>
  </si>
  <si>
    <t>Martin, Leonys</t>
  </si>
  <si>
    <t>Cook, Ryan</t>
  </si>
  <si>
    <t>Garcia, Jaime</t>
  </si>
  <si>
    <t>Jay, Jon</t>
  </si>
  <si>
    <t>Hammel, Jason</t>
  </si>
  <si>
    <t>Escobar, Yunel</t>
  </si>
  <si>
    <t>Heyward, Jason</t>
  </si>
  <si>
    <t>Dunn, Adam</t>
  </si>
  <si>
    <t>Tanaka, Masahiro</t>
  </si>
  <si>
    <t>Posey, Buster</t>
  </si>
  <si>
    <t>Bumgarner, M</t>
  </si>
  <si>
    <t>Iwakuma, Hisashi</t>
  </si>
  <si>
    <t>Dozier, Brian</t>
  </si>
  <si>
    <t>Bautista, Jose</t>
  </si>
  <si>
    <t>Johnson, Chris</t>
  </si>
  <si>
    <t>Castro, Jason</t>
  </si>
  <si>
    <t>Russell, Addison</t>
  </si>
  <si>
    <t>Wright, David</t>
  </si>
  <si>
    <t>Bryant, Kris</t>
  </si>
  <si>
    <t>Abreau, Jose</t>
  </si>
  <si>
    <t>Kimbrel, Craig</t>
  </si>
  <si>
    <t>Salazar, Danny</t>
  </si>
  <si>
    <t>Brothers, Rex</t>
  </si>
  <si>
    <t>Buxton, Byron</t>
  </si>
  <si>
    <t>Appel, Mark</t>
  </si>
  <si>
    <t>Price, David</t>
  </si>
  <si>
    <t>Issam Konsul</t>
  </si>
  <si>
    <t>Scheppers, Tanner</t>
  </si>
  <si>
    <t>Gray, Jonathan</t>
  </si>
  <si>
    <t>Utley, Chase</t>
  </si>
  <si>
    <t>Peralta, Johnny</t>
  </si>
  <si>
    <t>Ryu, Hyun-Jin</t>
  </si>
  <si>
    <t>Stephenson, Robert</t>
  </si>
  <si>
    <t>Alvarez, Pedro</t>
  </si>
  <si>
    <t>Verlander, Justin</t>
  </si>
  <si>
    <t>Janssen, Casey</t>
  </si>
  <si>
    <t>Zimmerman, Jordan</t>
  </si>
  <si>
    <t>Donaldson, Josh</t>
  </si>
  <si>
    <t>Hamilton, Josh</t>
  </si>
  <si>
    <t>Pagan, Angel</t>
  </si>
  <si>
    <t>Gonzalez, Gio</t>
  </si>
  <si>
    <t>Greinke, Zack</t>
  </si>
  <si>
    <t>Franco, Maikel</t>
  </si>
  <si>
    <t>Meyer, Alex</t>
  </si>
  <si>
    <t>Clippard, Tyler</t>
  </si>
  <si>
    <t>Holland, Derek</t>
  </si>
  <si>
    <t>Polanco, Gregory</t>
  </si>
  <si>
    <t>McGee, Jake</t>
  </si>
  <si>
    <t>Springer, George</t>
  </si>
  <si>
    <t>Smyly, Drew</t>
  </si>
  <si>
    <t>Cishek, Steve</t>
  </si>
  <si>
    <t>Gennett, Scooter</t>
  </si>
  <si>
    <t>Escobar, Alicedes</t>
  </si>
  <si>
    <t>Kintzler, Brandon</t>
  </si>
  <si>
    <t>Lackey, John</t>
  </si>
  <si>
    <t>Aviles, Mike</t>
  </si>
  <si>
    <t>Estrada, Marco</t>
  </si>
  <si>
    <t>Sanchez, Aaron</t>
  </si>
  <si>
    <t>Ventura, Yordano</t>
  </si>
  <si>
    <t>Veres, Jose</t>
  </si>
  <si>
    <t>Adams, Matt</t>
  </si>
  <si>
    <t>Dominguez, Matt</t>
  </si>
  <si>
    <t>Gattis, Evan</t>
  </si>
  <si>
    <t>Calhoun, Cole</t>
  </si>
  <si>
    <t>Davis, Khris</t>
  </si>
  <si>
    <t>Feliz, Neftali</t>
  </si>
  <si>
    <t>Cingrani, Tony</t>
  </si>
  <si>
    <t>Fowler, Dexter</t>
  </si>
  <si>
    <t>Jimenez, Ubaldo</t>
  </si>
  <si>
    <t>Marte, Starling</t>
  </si>
  <si>
    <t>Wheeler, Zach</t>
  </si>
  <si>
    <t>Myers, Wil</t>
  </si>
  <si>
    <t>Benoit, Joaquin</t>
  </si>
  <si>
    <t>Allen, Cody</t>
  </si>
  <si>
    <t>Grandal, Yasmani</t>
  </si>
  <si>
    <t>Porcello, Rick</t>
  </si>
  <si>
    <t>Liriano, Francisco</t>
  </si>
  <si>
    <t>Garcia, Avisail</t>
  </si>
  <si>
    <t>Swisher, Nick</t>
  </si>
  <si>
    <t>Alonso, Yonder</t>
  </si>
  <si>
    <t>Mejia, Jenrry</t>
  </si>
  <si>
    <t>Soria, Joakim</t>
  </si>
  <si>
    <t>Wood, Alex</t>
  </si>
  <si>
    <t>Heaney, Andrew</t>
  </si>
  <si>
    <t>Gray, Sonny</t>
  </si>
  <si>
    <t>Miller, Brad</t>
  </si>
  <si>
    <t>Pederson, Joc</t>
  </si>
  <si>
    <t>Seager, Corey</t>
  </si>
  <si>
    <t>Gomes, Yan</t>
  </si>
  <si>
    <t>Wacha, Michael</t>
  </si>
  <si>
    <t>Hunter, Tommy</t>
  </si>
  <si>
    <t>Lake, Junior</t>
  </si>
  <si>
    <t>Kazmir, Scott</t>
  </si>
  <si>
    <t>Archer, Chris</t>
  </si>
  <si>
    <t>Hawkins, LaTroy</t>
  </si>
  <si>
    <t>Avilan, Luis</t>
  </si>
  <si>
    <t>Duffy, Danny</t>
  </si>
  <si>
    <t>LeMahieu, D.J.</t>
  </si>
  <si>
    <t>Smith, Joe</t>
  </si>
  <si>
    <t>M13</t>
  </si>
  <si>
    <t>M11</t>
  </si>
  <si>
    <t>M12</t>
  </si>
  <si>
    <t>M14</t>
  </si>
  <si>
    <t>Ben Shepherd</t>
  </si>
  <si>
    <t>A14</t>
  </si>
  <si>
    <t>CWS</t>
  </si>
  <si>
    <t>CHC</t>
  </si>
  <si>
    <t>Stanton, Giancarlo</t>
  </si>
  <si>
    <t>A15</t>
  </si>
  <si>
    <t>Kinsler, Ian</t>
  </si>
  <si>
    <t>Encarnacion, Ed</t>
  </si>
  <si>
    <t>Desmond, Ian</t>
  </si>
  <si>
    <t>Correa, Carlos</t>
  </si>
  <si>
    <t>Ellsbury, Jacoby</t>
  </si>
  <si>
    <t>Kluber, Corey</t>
  </si>
  <si>
    <t>Longoria, Evan</t>
  </si>
  <si>
    <t>Robertson, David</t>
  </si>
  <si>
    <t>Hernandez, Felix</t>
  </si>
  <si>
    <t>Chapman, Aroldis</t>
  </si>
  <si>
    <t>Lucroy, Jonathan</t>
  </si>
  <si>
    <t>Beltre, Adrian</t>
  </si>
  <si>
    <t>Storen, Drew</t>
  </si>
  <si>
    <t>Holland, Greg</t>
  </si>
  <si>
    <t>Gallo, Joey</t>
  </si>
  <si>
    <t>Arrieta, Jake</t>
  </si>
  <si>
    <t>Gonzalez, Carlos</t>
  </si>
  <si>
    <t>Ortiz, David</t>
  </si>
  <si>
    <t>Brantley, Michael</t>
  </si>
  <si>
    <t>McCann, Brian</t>
  </si>
  <si>
    <t>Rollins, Jimmy</t>
  </si>
  <si>
    <t>Gordon, Dee</t>
  </si>
  <si>
    <t>Cashner, Andrew</t>
  </si>
  <si>
    <t>ADKISSON</t>
  </si>
  <si>
    <t>BARTON</t>
  </si>
  <si>
    <t>BIEGLER</t>
  </si>
  <si>
    <t>CADMUS</t>
  </si>
  <si>
    <t>CHAPLIN</t>
  </si>
  <si>
    <t>CHOCKALINGAM</t>
  </si>
  <si>
    <t>FERNALD</t>
  </si>
  <si>
    <t>JAGOT</t>
  </si>
  <si>
    <t>KONSUL</t>
  </si>
  <si>
    <t>KUMAR</t>
  </si>
  <si>
    <t>RITTENHOUSE</t>
  </si>
  <si>
    <t>SHEPHERD</t>
  </si>
  <si>
    <t>UBEROI</t>
  </si>
  <si>
    <t>WILT</t>
  </si>
  <si>
    <t>BEN WOODFORD</t>
  </si>
  <si>
    <t>BILL WOODFORD</t>
  </si>
  <si>
    <t>Dickerson, Corey</t>
  </si>
  <si>
    <t>Castro, Starlin</t>
  </si>
  <si>
    <t>Blackmon, Charlie</t>
  </si>
  <si>
    <t>Ross, Tyson</t>
  </si>
  <si>
    <t>Carrasco, Carlos</t>
  </si>
  <si>
    <t>Uehara, Koji</t>
  </si>
  <si>
    <t>Swihart, Blake</t>
  </si>
  <si>
    <t>Giolito, Lucas</t>
  </si>
  <si>
    <t>Martin, Russell</t>
  </si>
  <si>
    <t>Martinez, Victor</t>
  </si>
  <si>
    <t>DeGrom, Jacob</t>
  </si>
  <si>
    <t>Betts, Mookie</t>
  </si>
  <si>
    <t>Melancon, Marc</t>
  </si>
  <si>
    <t>Bruce, Jay</t>
  </si>
  <si>
    <t>Fielder, Prince</t>
  </si>
  <si>
    <t>Fiers, Mike</t>
  </si>
  <si>
    <t>ACTIVE ROSTER BREAKDOWN</t>
  </si>
  <si>
    <t>Players</t>
  </si>
  <si>
    <t>Average</t>
  </si>
  <si>
    <t>Isaam Konsul</t>
  </si>
  <si>
    <t>Vic Uberoi</t>
  </si>
  <si>
    <t>Ozuna, Marcell</t>
  </si>
  <si>
    <t>Jansen, Kenley</t>
  </si>
  <si>
    <t>Crawford, J.P.</t>
  </si>
  <si>
    <t>Latos, Matt</t>
  </si>
  <si>
    <t>Zobrist, Ben</t>
  </si>
  <si>
    <t>Urias, Julio</t>
  </si>
  <si>
    <t>Wong, Kolton</t>
  </si>
  <si>
    <t>Carter, Chris</t>
  </si>
  <si>
    <t>Street, Huston</t>
  </si>
  <si>
    <t>Richards, Garrett</t>
  </si>
  <si>
    <t>Soler, Jorge</t>
  </si>
  <si>
    <t>Nathan, Joe</t>
  </si>
  <si>
    <t>Ramirez, Aramis</t>
  </si>
  <si>
    <t>Santana, Ervin</t>
  </si>
  <si>
    <t>Montero, Miguel</t>
  </si>
  <si>
    <t>A13</t>
  </si>
  <si>
    <t>A12</t>
  </si>
  <si>
    <t>A11</t>
  </si>
  <si>
    <t>Suzuki, Kurt</t>
  </si>
  <si>
    <t>LaRoche, Adam</t>
  </si>
  <si>
    <t>Gardner, Brett</t>
  </si>
  <si>
    <t>Kendrick, Howie</t>
  </si>
  <si>
    <t>Moncada, Yoan</t>
  </si>
  <si>
    <t>Gallardo, Yovanni</t>
  </si>
  <si>
    <t>Weaver, Jered</t>
  </si>
  <si>
    <t>Quintana, Jose</t>
  </si>
  <si>
    <t>Murphy, Daniel</t>
  </si>
  <si>
    <t>Rodriguez, Francisco</t>
  </si>
  <si>
    <t>Reed, Addison</t>
  </si>
  <si>
    <t>Aybar, Eric</t>
  </si>
  <si>
    <t>Santana, Danny</t>
  </si>
  <si>
    <t>Winker, Jesse</t>
  </si>
  <si>
    <t>Shoemaker, Matt</t>
  </si>
  <si>
    <t>Vogt, Stephen</t>
  </si>
  <si>
    <t>Harrison, Josh</t>
  </si>
  <si>
    <t>Rondon, Hector</t>
  </si>
  <si>
    <t>O'Day, Darren</t>
  </si>
  <si>
    <t>McCarthy, Brandon</t>
  </si>
  <si>
    <t>Rodon, Carlos</t>
  </si>
  <si>
    <t>Doolittle, Sean</t>
  </si>
  <si>
    <t>Glasnow, Tyler</t>
  </si>
  <si>
    <t>Castillo, Rusney</t>
  </si>
  <si>
    <t>McHugh, Colin</t>
  </si>
  <si>
    <t>Lohse, Kyle</t>
  </si>
  <si>
    <t>Casilla, Santiago</t>
  </si>
  <si>
    <t>Zimmerman, Ryan</t>
  </si>
  <si>
    <t>Cuddyer, Michael</t>
  </si>
  <si>
    <t>Cecil, Brett</t>
  </si>
  <si>
    <t>Bell, Josh</t>
  </si>
  <si>
    <t>Chamberlain, Joba</t>
  </si>
  <si>
    <t>Owings, Chris</t>
  </si>
  <si>
    <t>Byrd, Marlon</t>
  </si>
  <si>
    <t>Werth, Jayson</t>
  </si>
  <si>
    <t>Peralta, Wily</t>
  </si>
  <si>
    <t>Pollack, A.J.</t>
  </si>
  <si>
    <t>Granderson, Curtis</t>
  </si>
  <si>
    <t>Souza, Steven</t>
  </si>
  <si>
    <t>Watson, Tony</t>
  </si>
  <si>
    <t>Jepsen, Kevin</t>
  </si>
  <si>
    <t>Tillman, Chris</t>
  </si>
  <si>
    <t>Miller, Andrew</t>
  </si>
  <si>
    <t>Headley, Chase</t>
  </si>
  <si>
    <t>Hunter, Torii</t>
  </si>
  <si>
    <t>Dickey, R.A.</t>
  </si>
  <si>
    <t>Valbuena, Luis</t>
  </si>
  <si>
    <t>Pompey, Dalton</t>
  </si>
  <si>
    <t>Markakis, Nick</t>
  </si>
  <si>
    <t>Garza, Matt</t>
  </si>
  <si>
    <t>Schwarber, Kyle</t>
  </si>
  <si>
    <t>Herrera, Odubel</t>
  </si>
  <si>
    <t>Herrera, Kelvin</t>
  </si>
  <si>
    <t>Thomas, Yasmani</t>
  </si>
  <si>
    <t>Jackson, Alex</t>
  </si>
  <si>
    <t>Dahl, David</t>
  </si>
  <si>
    <t>Pearce, Steve</t>
  </si>
  <si>
    <t>Davis, Wade</t>
  </si>
  <si>
    <t>Odor, Rougned</t>
  </si>
  <si>
    <t>Smith, Will</t>
  </si>
  <si>
    <t>Napoli, Mike</t>
  </si>
  <si>
    <t>Boxberger, Brad</t>
  </si>
  <si>
    <t>Neshek, Pat</t>
  </si>
  <si>
    <t>Wei-Yen, Chen</t>
  </si>
  <si>
    <t>Gregorson, Luke</t>
  </si>
  <si>
    <t>Ziegler, Brad</t>
  </si>
  <si>
    <t>Norris, Derek</t>
  </si>
  <si>
    <t>Giles, Ken</t>
  </si>
  <si>
    <t>Ramirez, Jose</t>
  </si>
  <si>
    <t>Peraza, Jose</t>
  </si>
  <si>
    <t>Owens, Henry</t>
  </si>
  <si>
    <t>Strop, Pedro</t>
  </si>
  <si>
    <t>Brown/Jackson</t>
  </si>
  <si>
    <t>Navaro, Dioner</t>
  </si>
  <si>
    <t>FA15</t>
  </si>
  <si>
    <t>Buchholz, Clay</t>
  </si>
  <si>
    <t>Phillips, Brandon</t>
  </si>
  <si>
    <t>Farquhar, Danny</t>
  </si>
  <si>
    <t>Colon, Bartolo</t>
  </si>
  <si>
    <t>Grilli, Jason</t>
  </si>
  <si>
    <t>Shaw, Bryan</t>
  </si>
  <si>
    <t>Holt, Brock</t>
  </si>
  <si>
    <t>Travis, Devon</t>
  </si>
  <si>
    <t>Mujica, Edward</t>
  </si>
  <si>
    <t>Hahn, Jesse</t>
  </si>
  <si>
    <t>Stubbs, Drew</t>
  </si>
  <si>
    <t>Mauer, Joe</t>
  </si>
  <si>
    <t>Peralta, Joel</t>
  </si>
  <si>
    <t>Collmenter, Josh</t>
  </si>
  <si>
    <t>Span, Denard</t>
  </si>
  <si>
    <t>Keuchel, Dallas</t>
  </si>
  <si>
    <t>Familia, Jeurys</t>
  </si>
  <si>
    <t>Ramos, A.J.</t>
  </si>
  <si>
    <t>Qualls, Chad</t>
  </si>
  <si>
    <t>Fien, Casey</t>
  </si>
  <si>
    <t>Tazawa, Junichi</t>
  </si>
  <si>
    <t>Smith, Seth</t>
  </si>
  <si>
    <t>Johnson, Micah</t>
  </si>
  <si>
    <t>Johnson, Jim</t>
  </si>
  <si>
    <t>Alverez, Henderson</t>
  </si>
  <si>
    <t>Mercer, Jordy</t>
  </si>
  <si>
    <t>Hutchison, Drew</t>
  </si>
  <si>
    <t>Jaso, John</t>
  </si>
  <si>
    <t>Davis, Rajai</t>
  </si>
  <si>
    <t>Norris, Daniel</t>
  </si>
  <si>
    <t>Machi, Jean</t>
  </si>
  <si>
    <t>Hatcher, Chris</t>
  </si>
  <si>
    <t>Howell, J.P.</t>
  </si>
  <si>
    <t>Snider, Travis</t>
  </si>
  <si>
    <t>Dunn, Mike</t>
  </si>
  <si>
    <t>Furbursh, Charlie</t>
  </si>
  <si>
    <t>Medina, Yoervis</t>
  </si>
  <si>
    <t>Graveman, Kendall</t>
  </si>
  <si>
    <t>Greene, Shane</t>
  </si>
  <si>
    <t>Kendrick, Kyle</t>
  </si>
  <si>
    <t>Smith, Carson</t>
  </si>
  <si>
    <t>Crawford, Brandon</t>
  </si>
  <si>
    <t>Iglesias, Jose</t>
  </si>
  <si>
    <t>Gomez, Jeanmar</t>
  </si>
  <si>
    <t>Bass, Anthony</t>
  </si>
  <si>
    <t>Hundley, Nick</t>
  </si>
  <si>
    <t>Marshall, Evan</t>
  </si>
  <si>
    <t>Tolleson, Shawn</t>
  </si>
  <si>
    <t>Ottavino, Adam</t>
  </si>
  <si>
    <t>Carpenter, David</t>
  </si>
  <si>
    <t>Osuna, Roberto</t>
  </si>
  <si>
    <t>Castro, Miguel</t>
  </si>
  <si>
    <t>Ruiz, Carlos</t>
  </si>
  <si>
    <t>DeScalfani, Anthony</t>
  </si>
  <si>
    <t>Semien, Marcus</t>
  </si>
  <si>
    <t>Nelson, Jimmy</t>
  </si>
  <si>
    <t>Burnett, A.J.</t>
  </si>
  <si>
    <t>Freese, David</t>
  </si>
  <si>
    <t>Betancourt, Rafael</t>
  </si>
  <si>
    <t>Kelly, Joe</t>
  </si>
  <si>
    <t>Hanigan, Ryan</t>
  </si>
  <si>
    <t>Martinez, Nick</t>
  </si>
  <si>
    <t>Garcia, Yimi</t>
  </si>
  <si>
    <t>Caminero, Arquimedes</t>
  </si>
  <si>
    <t>Oswaldo, Arcia</t>
  </si>
  <si>
    <t>Inciarte, Ender</t>
  </si>
  <si>
    <t>Blevins, Jerry</t>
  </si>
  <si>
    <t>Gonzalez, Miguel</t>
  </si>
  <si>
    <t>Simon, Alfredo</t>
  </si>
  <si>
    <t>Logan, Boone</t>
  </si>
  <si>
    <t>Joseph, Caleb</t>
  </si>
  <si>
    <t>Guerrero, Alex</t>
  </si>
  <si>
    <t>Hughes, Jared</t>
  </si>
  <si>
    <t>Axford, John</t>
  </si>
  <si>
    <t>Hechavarria, Adeiny</t>
  </si>
  <si>
    <t>Reddick, Josh</t>
  </si>
  <si>
    <t>Marisnick, Jake</t>
  </si>
  <si>
    <t>Lagares, Juan</t>
  </si>
  <si>
    <t>Foltynewicz, Mike</t>
  </si>
  <si>
    <t>Pierzynski, A.J.</t>
  </si>
  <si>
    <t>Martin, Cody</t>
  </si>
  <si>
    <t>M15</t>
  </si>
  <si>
    <t>Solarte, Yangervis</t>
  </si>
  <si>
    <t>Chi</t>
  </si>
  <si>
    <t>Maurer, Brandon</t>
  </si>
  <si>
    <t>Morrison, Logan</t>
  </si>
  <si>
    <t>Roark, Tanner</t>
  </si>
  <si>
    <t>Turner, Justin</t>
  </si>
  <si>
    <t>Kang, Jung-ho</t>
  </si>
  <si>
    <t>Harang, Aaron</t>
  </si>
  <si>
    <t>Siegrist, Kevin</t>
  </si>
  <si>
    <t>Ethier, Andre</t>
  </si>
  <si>
    <t>Jeffress, Jeremy</t>
  </si>
  <si>
    <t>De La Rosa, Rubby</t>
  </si>
  <si>
    <t>Wada, Tsuyoshi</t>
  </si>
  <si>
    <t>Chc</t>
  </si>
  <si>
    <t>McCullers, Lance</t>
  </si>
  <si>
    <t>McCann, James</t>
  </si>
  <si>
    <t>Bolsinger, Mike</t>
  </si>
  <si>
    <t>Tucker, Preston</t>
  </si>
  <si>
    <t>Panik, Joe</t>
  </si>
  <si>
    <t>Boyer, Blaine</t>
  </si>
  <si>
    <t>Scribner, Evan</t>
  </si>
  <si>
    <t>Rodriguez, Eduardo</t>
  </si>
  <si>
    <t>Strickland, Hunter</t>
  </si>
  <si>
    <t>Gonzalez, Chi Chi</t>
  </si>
  <si>
    <t>Chavez, Jesse</t>
  </si>
  <si>
    <t>Haren, Dan</t>
  </si>
  <si>
    <t>Harris, Will</t>
  </si>
  <si>
    <t>Duffy, Matt</t>
  </si>
  <si>
    <t>Maybin, Cameron</t>
  </si>
  <si>
    <t>Velasquez, Vince</t>
  </si>
  <si>
    <t>Paxton, James</t>
  </si>
  <si>
    <t>Canha, Mark</t>
  </si>
  <si>
    <t>Butler, Joey</t>
  </si>
  <si>
    <t>Morton, Charlie</t>
  </si>
  <si>
    <t>Burns, Billy</t>
  </si>
  <si>
    <t>Hoover, J.J.</t>
  </si>
  <si>
    <t>Karns, Nathan</t>
  </si>
  <si>
    <t>Motte, Jason</t>
  </si>
  <si>
    <t>Gibson, Kyle</t>
  </si>
  <si>
    <t>Wilson, Justin</t>
  </si>
  <si>
    <t>Santiago, Hector</t>
  </si>
  <si>
    <t>Welington, Castillo</t>
  </si>
  <si>
    <t>Cervelli, Francisco</t>
  </si>
  <si>
    <t>Parra, Gerardo</t>
  </si>
  <si>
    <t>Heston, Chris</t>
  </si>
  <si>
    <t>Chafin, Andrew</t>
  </si>
  <si>
    <t>Forsythe, Logan</t>
  </si>
  <si>
    <t>Jungmann, Taylor</t>
  </si>
  <si>
    <t>Vizcaino, Arodys</t>
  </si>
  <si>
    <t>Hicks, Aaron</t>
  </si>
  <si>
    <t>Paulsen, Ben</t>
  </si>
  <si>
    <t>Lewis, Colby</t>
  </si>
  <si>
    <t>Wilson, Alex</t>
  </si>
  <si>
    <t>Howard, Ryan</t>
  </si>
  <si>
    <t>Maness, Seth</t>
  </si>
  <si>
    <t>Hendricks, Kyle</t>
  </si>
  <si>
    <t>Severino, Luis</t>
  </si>
  <si>
    <t>Ramirez, Erasmo</t>
  </si>
  <si>
    <t>Kahnle, Tommy</t>
  </si>
  <si>
    <t>Grichuk, Randal</t>
  </si>
  <si>
    <t>Buehrle, Mark</t>
  </si>
  <si>
    <t>Peralta, David</t>
  </si>
  <si>
    <t>Iglesias, Raisel</t>
  </si>
  <si>
    <t>Bassit, Chris</t>
  </si>
  <si>
    <t>Grimm, Justin</t>
  </si>
  <si>
    <t>Geltz, Steve</t>
  </si>
  <si>
    <t>Madson, Ryan</t>
  </si>
  <si>
    <t>Danks, John</t>
  </si>
  <si>
    <t>Piscotty, Stephen</t>
  </si>
  <si>
    <t>Eovaldi, Nathan</t>
  </si>
  <si>
    <t>Ross, Joe</t>
  </si>
  <si>
    <t>Kela, Keone</t>
  </si>
  <si>
    <t>Colome, Alex</t>
  </si>
  <si>
    <t>Tomlin, Josh</t>
  </si>
  <si>
    <t>Jones, Nate</t>
  </si>
  <si>
    <t>Coghlan, Chris</t>
  </si>
  <si>
    <t>Johnson, Erik</t>
  </si>
  <si>
    <t>Wisler, Matt</t>
  </si>
  <si>
    <t>Lopez, Jorge</t>
  </si>
  <si>
    <t>Moore, Matt</t>
  </si>
  <si>
    <t>Montas, Frankie</t>
  </si>
  <si>
    <t>Nuno, Vidal</t>
  </si>
  <si>
    <t>Buchanan, David</t>
  </si>
  <si>
    <t>Nolasco, Ricky</t>
  </si>
  <si>
    <t>Bergman, Christian</t>
  </si>
  <si>
    <t>Conley, Adam</t>
  </si>
  <si>
    <t>Prado, Martin</t>
  </si>
  <si>
    <t>Darvish, Yu</t>
  </si>
  <si>
    <t>Updated October 20, 2015 at 9 AM CT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</si>
</sst>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0.000"/>
    <numFmt numFmtId="175" formatCode="0.0000"/>
    <numFmt numFmtId="176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Copperplate Gothic Bold"/>
      <family val="2"/>
    </font>
    <font>
      <b/>
      <sz val="12"/>
      <color indexed="12"/>
      <name val="Copperplate Gothic Bold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b/>
      <sz val="8"/>
      <color indexed="63"/>
      <name val="Times New Roman"/>
      <family val="1"/>
    </font>
    <font>
      <sz val="11"/>
      <name val="Arial"/>
      <family val="2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4"/>
      <color indexed="17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8"/>
      <name val="Calibri"/>
      <family val="2"/>
    </font>
    <font>
      <b/>
      <sz val="14"/>
      <color indexed="30"/>
      <name val="Bookman Old Style"/>
      <family val="1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0"/>
      <color indexed="30"/>
      <name val="Bookman Old Style"/>
      <family val="1"/>
    </font>
    <font>
      <b/>
      <u val="single"/>
      <sz val="12"/>
      <name val="Calibri"/>
      <family val="2"/>
    </font>
    <font>
      <b/>
      <sz val="12"/>
      <color indexed="30"/>
      <name val="Bookman Old Style"/>
      <family val="1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70C0"/>
      <name val="Bookman Old Style"/>
      <family val="1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0"/>
      <color rgb="FF0070C0"/>
      <name val="Bookman Old Style"/>
      <family val="1"/>
    </font>
    <font>
      <b/>
      <sz val="12"/>
      <color rgb="FF0070C0"/>
      <name val="Bookman Old Style"/>
      <family val="1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44" fontId="2" fillId="0" borderId="0" xfId="44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2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43" fontId="0" fillId="0" borderId="0" xfId="0" applyNumberFormat="1" applyAlignment="1" applyProtection="1">
      <alignment/>
      <protection locked="0"/>
    </xf>
    <xf numFmtId="44" fontId="2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 locked="0"/>
    </xf>
    <xf numFmtId="0" fontId="0" fillId="0" borderId="0" xfId="42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64" fontId="0" fillId="0" borderId="0" xfId="42" applyNumberFormat="1" applyFont="1" applyAlignment="1">
      <alignment/>
    </xf>
    <xf numFmtId="164" fontId="6" fillId="0" borderId="0" xfId="42" applyNumberFormat="1" applyFont="1" applyAlignment="1">
      <alignment/>
    </xf>
    <xf numFmtId="164" fontId="12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4" fontId="34" fillId="0" borderId="0" xfId="42" applyNumberFormat="1" applyFont="1" applyAlignment="1">
      <alignment/>
    </xf>
    <xf numFmtId="43" fontId="34" fillId="0" borderId="0" xfId="42" applyFont="1" applyAlignment="1">
      <alignment/>
    </xf>
    <xf numFmtId="43" fontId="34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164" fontId="34" fillId="0" borderId="10" xfId="42" applyNumberFormat="1" applyFont="1" applyBorder="1" applyAlignment="1">
      <alignment/>
    </xf>
    <xf numFmtId="43" fontId="34" fillId="0" borderId="10" xfId="42" applyFont="1" applyBorder="1" applyAlignment="1">
      <alignment/>
    </xf>
    <xf numFmtId="43" fontId="34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44" fontId="36" fillId="0" borderId="0" xfId="44" applyFont="1" applyAlignment="1">
      <alignment horizontal="center"/>
    </xf>
    <xf numFmtId="0" fontId="37" fillId="0" borderId="0" xfId="0" applyFont="1" applyAlignment="1">
      <alignment/>
    </xf>
    <xf numFmtId="44" fontId="37" fillId="0" borderId="0" xfId="44" applyFont="1" applyAlignment="1">
      <alignment/>
    </xf>
    <xf numFmtId="0" fontId="35" fillId="0" borderId="0" xfId="0" applyFont="1" applyAlignment="1">
      <alignment horizontal="center"/>
    </xf>
    <xf numFmtId="164" fontId="35" fillId="0" borderId="0" xfId="42" applyNumberFormat="1" applyFont="1" applyAlignment="1">
      <alignment/>
    </xf>
    <xf numFmtId="0" fontId="37" fillId="0" borderId="0" xfId="0" applyFont="1" applyAlignment="1">
      <alignment horizontal="center"/>
    </xf>
    <xf numFmtId="43" fontId="35" fillId="0" borderId="0" xfId="42" applyFont="1" applyAlignment="1">
      <alignment/>
    </xf>
    <xf numFmtId="43" fontId="35" fillId="0" borderId="0" xfId="42" applyFont="1" applyAlignment="1">
      <alignment horizontal="center"/>
    </xf>
    <xf numFmtId="43" fontId="35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43" fontId="38" fillId="0" borderId="0" xfId="42" applyFont="1" applyAlignment="1">
      <alignment horizontal="center"/>
    </xf>
    <xf numFmtId="43" fontId="35" fillId="0" borderId="11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3" fontId="0" fillId="0" borderId="0" xfId="42" applyFont="1" applyAlignment="1">
      <alignment/>
    </xf>
    <xf numFmtId="1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3" fontId="0" fillId="0" borderId="0" xfId="42" applyFont="1" applyFill="1" applyAlignment="1">
      <alignment/>
    </xf>
    <xf numFmtId="1" fontId="2" fillId="0" borderId="1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13" xfId="0" applyBorder="1" applyAlignment="1">
      <alignment horizontal="center"/>
    </xf>
    <xf numFmtId="1" fontId="2" fillId="0" borderId="14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42" applyFont="1" applyBorder="1" applyAlignment="1">
      <alignment/>
    </xf>
    <xf numFmtId="0" fontId="0" fillId="0" borderId="15" xfId="0" applyBorder="1" applyAlignment="1">
      <alignment horizontal="center"/>
    </xf>
    <xf numFmtId="0" fontId="39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164" fontId="35" fillId="0" borderId="0" xfId="0" applyNumberFormat="1" applyFont="1" applyAlignment="1">
      <alignment/>
    </xf>
    <xf numFmtId="43" fontId="45" fillId="0" borderId="0" xfId="0" applyNumberFormat="1" applyFont="1" applyAlignment="1">
      <alignment/>
    </xf>
    <xf numFmtId="43" fontId="45" fillId="0" borderId="10" xfId="42" applyFont="1" applyBorder="1" applyAlignment="1">
      <alignment/>
    </xf>
    <xf numFmtId="0" fontId="71" fillId="33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74" fillId="34" borderId="0" xfId="0" applyFont="1" applyFill="1" applyAlignment="1">
      <alignment horizontal="center"/>
    </xf>
    <xf numFmtId="164" fontId="74" fillId="34" borderId="0" xfId="42" applyNumberFormat="1" applyFont="1" applyFill="1" applyAlignment="1">
      <alignment horizontal="center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38" fillId="0" borderId="0" xfId="42" applyFont="1" applyAlignment="1">
      <alignment horizontal="center"/>
    </xf>
    <xf numFmtId="43" fontId="38" fillId="0" borderId="0" xfId="0" applyNumberFormat="1" applyFont="1" applyAlignment="1">
      <alignment horizontal="center"/>
    </xf>
    <xf numFmtId="43" fontId="37" fillId="0" borderId="11" xfId="42" applyFont="1" applyBorder="1" applyAlignment="1">
      <alignment horizontal="center"/>
    </xf>
    <xf numFmtId="0" fontId="75" fillId="33" borderId="0" xfId="0" applyFont="1" applyFill="1" applyAlignment="1">
      <alignment horizontal="center"/>
    </xf>
    <xf numFmtId="44" fontId="36" fillId="0" borderId="0" xfId="44" applyFont="1" applyAlignment="1">
      <alignment horizontal="center"/>
    </xf>
    <xf numFmtId="0" fontId="38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11" fillId="33" borderId="0" xfId="0" applyFont="1" applyFill="1" applyAlignment="1">
      <alignment horizontal="right"/>
    </xf>
    <xf numFmtId="0" fontId="36" fillId="0" borderId="0" xfId="0" applyFont="1" applyAlignment="1">
      <alignment horizontal="center"/>
    </xf>
    <xf numFmtId="0" fontId="76" fillId="35" borderId="16" xfId="0" applyFont="1" applyFill="1" applyBorder="1" applyAlignment="1">
      <alignment horizontal="center"/>
    </xf>
    <xf numFmtId="0" fontId="77" fillId="35" borderId="11" xfId="0" applyFont="1" applyFill="1" applyBorder="1" applyAlignment="1">
      <alignment horizontal="center"/>
    </xf>
    <xf numFmtId="0" fontId="77" fillId="35" borderId="17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5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7.7109375" style="0" customWidth="1"/>
    <col min="2" max="2" width="1.7109375" style="0" customWidth="1"/>
    <col min="3" max="3" width="5.7109375" style="0" customWidth="1"/>
    <col min="4" max="4" width="7.7109375" style="0" customWidth="1"/>
    <col min="5" max="5" width="6.7109375" style="0" customWidth="1"/>
    <col min="6" max="6" width="7.57421875" style="0" customWidth="1"/>
    <col min="7" max="8" width="7.7109375" style="0" customWidth="1"/>
    <col min="9" max="9" width="6.7109375" style="0" customWidth="1"/>
    <col min="10" max="10" width="9.140625" style="0" customWidth="1"/>
    <col min="11" max="11" width="1.7109375" style="0" customWidth="1"/>
    <col min="12" max="12" width="5.7109375" style="0" customWidth="1"/>
    <col min="13" max="13" width="7.7109375" style="0" customWidth="1"/>
    <col min="14" max="14" width="1.7109375" style="0" customWidth="1"/>
    <col min="15" max="15" width="5.7109375" style="0" customWidth="1"/>
    <col min="16" max="16" width="7.7109375" style="0" customWidth="1"/>
    <col min="17" max="17" width="1.7109375" style="0" customWidth="1"/>
    <col min="18" max="18" width="5.7109375" style="0" customWidth="1"/>
    <col min="19" max="19" width="7.7109375" style="0" customWidth="1"/>
    <col min="20" max="20" width="1.7109375" style="0" customWidth="1"/>
    <col min="21" max="21" width="5.7109375" style="0" customWidth="1"/>
    <col min="22" max="22" width="7.7109375" style="0" customWidth="1"/>
    <col min="23" max="23" width="2.7109375" style="0" customWidth="1"/>
    <col min="24" max="25" width="7.7109375" style="40" customWidth="1"/>
    <col min="26" max="26" width="7.7109375" style="60" customWidth="1"/>
  </cols>
  <sheetData>
    <row r="1" spans="1:22" ht="18">
      <c r="A1" s="119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33" t="s">
        <v>765</v>
      </c>
      <c r="Q1" s="133"/>
      <c r="R1" s="133"/>
      <c r="S1" s="133"/>
      <c r="T1" s="133"/>
      <c r="U1" s="133"/>
      <c r="V1" s="133"/>
    </row>
    <row r="2" ht="7.5" customHeight="1"/>
    <row r="3" spans="3:26" s="2" customFormat="1" ht="15" customHeight="1">
      <c r="C3" s="129">
        <v>2015</v>
      </c>
      <c r="D3" s="129"/>
      <c r="E3" s="129"/>
      <c r="F3" s="129"/>
      <c r="G3" s="129"/>
      <c r="H3" s="129"/>
      <c r="I3" s="129"/>
      <c r="J3" s="129"/>
      <c r="K3" s="120"/>
      <c r="L3" s="129">
        <v>2016</v>
      </c>
      <c r="M3" s="129"/>
      <c r="N3" s="120"/>
      <c r="O3" s="129">
        <v>2017</v>
      </c>
      <c r="P3" s="129"/>
      <c r="Q3" s="120"/>
      <c r="R3" s="129">
        <v>2018</v>
      </c>
      <c r="S3" s="129"/>
      <c r="T3" s="120"/>
      <c r="U3" s="129">
        <v>2019</v>
      </c>
      <c r="V3" s="129"/>
      <c r="W3" s="121"/>
      <c r="X3" s="122" t="s">
        <v>106</v>
      </c>
      <c r="Y3" s="122" t="s">
        <v>107</v>
      </c>
      <c r="Z3" s="123" t="s">
        <v>108</v>
      </c>
    </row>
    <row r="4" spans="1:26" s="2" customFormat="1" ht="7.5" customHeight="1">
      <c r="A4" s="4"/>
      <c r="B4" s="4"/>
      <c r="C4" s="5"/>
      <c r="D4" s="5"/>
      <c r="E4" s="5"/>
      <c r="F4" s="5"/>
      <c r="G4" s="5"/>
      <c r="H4" s="5"/>
      <c r="I4" s="5"/>
      <c r="J4" s="5"/>
      <c r="K4" s="3"/>
      <c r="L4" s="6"/>
      <c r="M4" s="6"/>
      <c r="N4" s="3"/>
      <c r="O4" s="5"/>
      <c r="P4" s="5"/>
      <c r="Q4" s="3"/>
      <c r="R4" s="6"/>
      <c r="S4" s="6"/>
      <c r="T4" s="3"/>
      <c r="U4" s="5"/>
      <c r="V4" s="5"/>
      <c r="X4" s="51"/>
      <c r="Y4" s="51"/>
      <c r="Z4" s="61"/>
    </row>
    <row r="5" spans="1:26" s="26" customFormat="1" ht="15">
      <c r="A5" s="28" t="s">
        <v>4</v>
      </c>
      <c r="C5" s="27" t="s">
        <v>2</v>
      </c>
      <c r="D5" s="27" t="s">
        <v>78</v>
      </c>
      <c r="E5" s="27" t="s">
        <v>79</v>
      </c>
      <c r="F5" s="27" t="s">
        <v>80</v>
      </c>
      <c r="G5" s="27" t="s">
        <v>54</v>
      </c>
      <c r="H5" s="27" t="s">
        <v>12</v>
      </c>
      <c r="I5" s="27" t="s">
        <v>55</v>
      </c>
      <c r="J5" s="27" t="s">
        <v>56</v>
      </c>
      <c r="K5" s="7"/>
      <c r="L5" s="27" t="s">
        <v>2</v>
      </c>
      <c r="M5" s="27" t="s">
        <v>3</v>
      </c>
      <c r="N5" s="7"/>
      <c r="O5" s="27" t="s">
        <v>2</v>
      </c>
      <c r="P5" s="27" t="s">
        <v>3</v>
      </c>
      <c r="Q5" s="7"/>
      <c r="R5" s="27" t="s">
        <v>2</v>
      </c>
      <c r="S5" s="27" t="s">
        <v>3</v>
      </c>
      <c r="T5" s="7"/>
      <c r="U5" s="27" t="s">
        <v>2</v>
      </c>
      <c r="V5" s="27" t="s">
        <v>3</v>
      </c>
      <c r="X5" s="52"/>
      <c r="Y5" s="52"/>
      <c r="Z5" s="62"/>
    </row>
    <row r="6" spans="24:26" s="2" customFormat="1" ht="7.5" customHeight="1">
      <c r="X6" s="51"/>
      <c r="Y6" s="51"/>
      <c r="Z6" s="61"/>
    </row>
    <row r="7" spans="1:26" s="64" customFormat="1" ht="15" customHeight="1">
      <c r="A7" s="63" t="s">
        <v>74</v>
      </c>
      <c r="C7" s="65">
        <f>+COUNTIF(Adkisson!$I$5:$I$32,"&gt;0")</f>
        <v>28</v>
      </c>
      <c r="D7" s="66">
        <f>+Adkisson!I34</f>
        <v>153.04999999999993</v>
      </c>
      <c r="E7" s="66">
        <f>+Adkisson!I94</f>
        <v>63.35000000000005</v>
      </c>
      <c r="F7" s="66">
        <v>-2.2</v>
      </c>
      <c r="G7" s="66">
        <f aca="true" t="shared" si="0" ref="G7:G22">+D7+E7+F7</f>
        <v>214.2</v>
      </c>
      <c r="H7" s="66">
        <f aca="true" t="shared" si="1" ref="H7:H22">+CEILING(IF(G7&gt;($H$27*1.2),(9*(G7-1.2*$H$27)+$H$27*0.5),IF(G7&gt;($H$27*1.1),(4*(G7-1.1*$H$27)+$H$27*0.1),IF(G7&gt;$H$27,G7-$H$27,0))),0.05)</f>
        <v>176.8</v>
      </c>
      <c r="I7" s="66">
        <f>+Adkisson!I48</f>
        <v>20.8</v>
      </c>
      <c r="J7" s="67">
        <f aca="true" t="shared" si="2" ref="J7:J22">+G7+H7+I7</f>
        <v>411.8</v>
      </c>
      <c r="L7" s="65">
        <f>+COUNTIF(Adkisson!$J$5:$J$32,"&gt;0")</f>
        <v>14</v>
      </c>
      <c r="M7" s="66">
        <f>+Adkisson!J34</f>
        <v>94.55000000000001</v>
      </c>
      <c r="O7" s="65">
        <f>+COUNTIF(Adkisson!$K$5:$K$32,"&gt;0")</f>
        <v>11</v>
      </c>
      <c r="P7" s="66">
        <f>+Adkisson!K34</f>
        <v>68.45</v>
      </c>
      <c r="R7" s="65">
        <f>+COUNTIF(Adkisson!$L$5:$L$32,"&gt;0")</f>
        <v>6</v>
      </c>
      <c r="S7" s="66">
        <f>+Adkisson!L34</f>
        <v>39.55</v>
      </c>
      <c r="U7" s="65">
        <f>+COUNTIF(Adkisson!$M$5:$M$32,"&gt;0")</f>
        <v>1</v>
      </c>
      <c r="V7" s="66">
        <f>+Adkisson!M34</f>
        <v>4.15</v>
      </c>
      <c r="X7" s="68">
        <v>3</v>
      </c>
      <c r="Y7" s="68">
        <v>1</v>
      </c>
      <c r="Z7" s="65">
        <f>P29+M28</f>
        <v>719</v>
      </c>
    </row>
    <row r="8" spans="1:26" s="64" customFormat="1" ht="15" customHeight="1">
      <c r="A8" s="63" t="s">
        <v>92</v>
      </c>
      <c r="C8" s="65">
        <f>+COUNTIF(Chaplin!$I$5:$I$32,"&gt;0")</f>
        <v>28</v>
      </c>
      <c r="D8" s="66">
        <f>+Chaplin!I34</f>
        <v>140.74999999999994</v>
      </c>
      <c r="E8" s="66">
        <f>+Chaplin!I94</f>
        <v>66.85000000000007</v>
      </c>
      <c r="F8" s="66">
        <f>-0.8-0.4-2</f>
        <v>-3.2</v>
      </c>
      <c r="G8" s="66">
        <f t="shared" si="0"/>
        <v>204.40000000000003</v>
      </c>
      <c r="H8" s="66">
        <f t="shared" si="1"/>
        <v>88.65</v>
      </c>
      <c r="I8" s="66">
        <f>+Chaplin!I48</f>
        <v>6.65</v>
      </c>
      <c r="J8" s="67">
        <f t="shared" si="2"/>
        <v>299.70000000000005</v>
      </c>
      <c r="L8" s="65">
        <f>+COUNTIF(Chaplin!$J$5:$J$32,"&gt;0")</f>
        <v>19</v>
      </c>
      <c r="M8" s="66">
        <f>+Chaplin!J34</f>
        <v>107.85</v>
      </c>
      <c r="O8" s="65">
        <f>+COUNTIF(Chaplin!$K$5:$K$32,"&gt;0")</f>
        <v>15</v>
      </c>
      <c r="P8" s="66">
        <f>+Chaplin!K34</f>
        <v>83.6</v>
      </c>
      <c r="R8" s="65">
        <f>+COUNTIF(Chaplin!$L$5:$L$32,"&gt;0")</f>
        <v>7</v>
      </c>
      <c r="S8" s="66">
        <f>+Chaplin!L34</f>
        <v>45.44999999999999</v>
      </c>
      <c r="U8" s="65">
        <f>+COUNTIF(Chaplin!$M$5:$M$32,"&gt;0")</f>
        <v>2</v>
      </c>
      <c r="V8" s="66">
        <f>+Chaplin!M34</f>
        <v>10.899999999999999</v>
      </c>
      <c r="X8" s="68">
        <v>1</v>
      </c>
      <c r="Y8" s="68"/>
      <c r="Z8" s="65">
        <f>P27</f>
        <v>679</v>
      </c>
    </row>
    <row r="9" spans="1:26" s="64" customFormat="1" ht="15" customHeight="1">
      <c r="A9" s="63" t="s">
        <v>83</v>
      </c>
      <c r="C9" s="65">
        <f>+COUNTIF(Fernald!$I$5:$I$32,"&gt;0")</f>
        <v>28</v>
      </c>
      <c r="D9" s="66">
        <f>+Fernald!I34</f>
        <v>146.0499999999999</v>
      </c>
      <c r="E9" s="66">
        <f>+Fernald!I70</f>
        <v>60.050000000000026</v>
      </c>
      <c r="F9" s="66">
        <v>-5.25</v>
      </c>
      <c r="G9" s="66">
        <f t="shared" si="0"/>
        <v>200.8499999999999</v>
      </c>
      <c r="H9" s="66">
        <f t="shared" si="1"/>
        <v>72.4</v>
      </c>
      <c r="I9" s="66">
        <f>+Fernald!I48</f>
        <v>23.6</v>
      </c>
      <c r="J9" s="67">
        <f t="shared" si="2"/>
        <v>296.8499999999999</v>
      </c>
      <c r="L9" s="65">
        <f>+COUNTIF(Fernald!$J$5:$J$32,"&gt;0")</f>
        <v>11</v>
      </c>
      <c r="M9" s="66">
        <f>+Fernald!J34</f>
        <v>66.75</v>
      </c>
      <c r="O9" s="65">
        <f>+COUNTIF(Fernald!$K$5:$K$32,"&gt;0")</f>
        <v>6</v>
      </c>
      <c r="P9" s="66">
        <f>+Fernald!K34</f>
        <v>37.85</v>
      </c>
      <c r="R9" s="65">
        <f>+COUNTIF(Fernald!$L$5:$L$32,"&gt;0")</f>
        <v>2</v>
      </c>
      <c r="S9" s="66">
        <f>+Fernald!L34</f>
        <v>4.5</v>
      </c>
      <c r="U9" s="65">
        <f>+COUNTIF(Fernald!$M$5:$M$32,"&gt;0")</f>
        <v>1</v>
      </c>
      <c r="V9" s="66">
        <f>+Fernald!M34</f>
        <v>2.95</v>
      </c>
      <c r="X9" s="68">
        <v>2</v>
      </c>
      <c r="Y9" s="68"/>
      <c r="Z9" s="65">
        <f>P28</f>
        <v>422</v>
      </c>
    </row>
    <row r="10" spans="1:26" s="64" customFormat="1" ht="15" customHeight="1">
      <c r="A10" s="63" t="s">
        <v>436</v>
      </c>
      <c r="C10" s="65">
        <f>+COUNTIF(Shepherd!$I$5:$I$32,"&gt;0")</f>
        <v>23</v>
      </c>
      <c r="D10" s="66">
        <f>+Shepherd!I34</f>
        <v>187.74999999999994</v>
      </c>
      <c r="E10" s="66">
        <f>+Shepherd!I64</f>
        <v>6.3500000000000005</v>
      </c>
      <c r="F10" s="66">
        <v>0</v>
      </c>
      <c r="G10" s="66">
        <f t="shared" si="0"/>
        <v>194.09999999999994</v>
      </c>
      <c r="H10" s="66">
        <f t="shared" si="1"/>
        <v>45.400000000000006</v>
      </c>
      <c r="I10" s="66">
        <f>+Shepherd!I47</f>
        <v>8.25</v>
      </c>
      <c r="J10" s="67">
        <f t="shared" si="2"/>
        <v>247.74999999999994</v>
      </c>
      <c r="L10" s="65">
        <f>+COUNTIF(Shepherd!$J$5:$J$32,"&gt;0")</f>
        <v>13</v>
      </c>
      <c r="M10" s="66">
        <f>+Shepherd!J34</f>
        <v>132.95000000000002</v>
      </c>
      <c r="O10" s="65">
        <f>+COUNTIF(Shepherd!$K$5:$K$32,"&gt;0")</f>
        <v>6</v>
      </c>
      <c r="P10" s="66">
        <f>+Shepherd!K34</f>
        <v>96.5</v>
      </c>
      <c r="R10" s="65">
        <f>+COUNTIF(Shepherd!$L$5:$L$32,"&gt;0")</f>
        <v>5</v>
      </c>
      <c r="S10" s="66">
        <f>+Shepherd!L34</f>
        <v>84.25</v>
      </c>
      <c r="U10" s="65">
        <f>+COUNTIF(Shepherd!$M$5:$M$32,"&gt;0")</f>
        <v>2</v>
      </c>
      <c r="V10" s="66">
        <f>+Shepherd!M34</f>
        <v>27.2</v>
      </c>
      <c r="X10" s="68">
        <v>8</v>
      </c>
      <c r="Y10" s="68"/>
      <c r="Z10" s="65">
        <f>S29</f>
        <v>94</v>
      </c>
    </row>
    <row r="11" spans="1:26" s="64" customFormat="1" ht="15" customHeight="1">
      <c r="A11" s="63" t="s">
        <v>164</v>
      </c>
      <c r="C11" s="65">
        <f>+COUNTIF(Jagot!$I$5:$I$32,"&gt;0")</f>
        <v>28</v>
      </c>
      <c r="D11" s="66">
        <f>+Jagot!I34</f>
        <v>166.04999999999995</v>
      </c>
      <c r="E11" s="66">
        <f>+Jagot!I72</f>
        <v>24.599999999999998</v>
      </c>
      <c r="F11" s="66">
        <f>-1.8-1.15-0.45</f>
        <v>-3.4000000000000004</v>
      </c>
      <c r="G11" s="66">
        <f t="shared" si="0"/>
        <v>187.24999999999994</v>
      </c>
      <c r="H11" s="66">
        <f t="shared" si="1"/>
        <v>18</v>
      </c>
      <c r="I11" s="66">
        <f>+Jagot!I48</f>
        <v>11.7</v>
      </c>
      <c r="J11" s="67">
        <f t="shared" si="2"/>
        <v>216.94999999999993</v>
      </c>
      <c r="L11" s="65">
        <f>+COUNTIF(Jagot!$J$5:$J$32,"&gt;0")</f>
        <v>20</v>
      </c>
      <c r="M11" s="66">
        <f>+Jagot!J34</f>
        <v>148.90000000000003</v>
      </c>
      <c r="O11" s="65">
        <f>+COUNTIF(Jagot!$K$5:$K$32,"&gt;0")</f>
        <v>17</v>
      </c>
      <c r="P11" s="66">
        <f>+Jagot!K34</f>
        <v>107.95000000000003</v>
      </c>
      <c r="R11" s="65">
        <f>+COUNTIF(Jagot!$L$5:$L$32,"&gt;0")</f>
        <v>5</v>
      </c>
      <c r="S11" s="66">
        <f>+Jagot!L34</f>
        <v>31.4</v>
      </c>
      <c r="U11" s="65">
        <f>+COUNTIF(Jagot!$M$5:$M$32,"&gt;0")</f>
        <v>4</v>
      </c>
      <c r="V11" s="66">
        <f>+Jagot!M34</f>
        <v>27.25</v>
      </c>
      <c r="X11" s="68">
        <v>6</v>
      </c>
      <c r="Y11" s="68"/>
      <c r="Z11" s="65">
        <f>S27</f>
        <v>164</v>
      </c>
    </row>
    <row r="12" spans="1:26" s="64" customFormat="1" ht="15" customHeight="1">
      <c r="A12" s="63" t="s">
        <v>8</v>
      </c>
      <c r="C12" s="65">
        <f>+COUNTIF(Cadmus!$I$5:$I$32,"&gt;0")</f>
        <v>28</v>
      </c>
      <c r="D12" s="66">
        <f>+Cadmus!I34</f>
        <v>179.84999999999985</v>
      </c>
      <c r="E12" s="66">
        <f>+Cadmus!I67</f>
        <v>7.65</v>
      </c>
      <c r="F12" s="66">
        <v>0</v>
      </c>
      <c r="G12" s="66">
        <f t="shared" si="0"/>
        <v>187.49999999999986</v>
      </c>
      <c r="H12" s="66">
        <f t="shared" si="1"/>
        <v>19</v>
      </c>
      <c r="I12" s="66">
        <f>+Cadmus!I48</f>
        <v>0.55</v>
      </c>
      <c r="J12" s="67">
        <f t="shared" si="2"/>
        <v>207.04999999999987</v>
      </c>
      <c r="L12" s="65">
        <f>+COUNTIF(Cadmus!$J$5:$J$32,"&gt;0")</f>
        <v>15</v>
      </c>
      <c r="M12" s="66">
        <f>+Cadmus!J34</f>
        <v>157.75</v>
      </c>
      <c r="O12" s="65">
        <f>+COUNTIF(Cadmus!$K$5:$K$32,"&gt;0")</f>
        <v>10</v>
      </c>
      <c r="P12" s="66">
        <f>+Cadmus!K34</f>
        <v>104</v>
      </c>
      <c r="R12" s="65">
        <f>+COUNTIF(Cadmus!$L$5:$L$32,"&gt;0")</f>
        <v>4</v>
      </c>
      <c r="S12" s="66">
        <f>+Cadmus!L34</f>
        <v>43.8</v>
      </c>
      <c r="U12" s="65">
        <f>+COUNTIF(Cadmus!$M$5:$M$32,"&gt;0")</f>
        <v>3</v>
      </c>
      <c r="V12" s="66">
        <f>+Cadmus!M34</f>
        <v>25.95</v>
      </c>
      <c r="X12" s="68">
        <v>9</v>
      </c>
      <c r="Y12" s="68"/>
      <c r="Z12" s="65">
        <f>S30</f>
        <v>47</v>
      </c>
    </row>
    <row r="13" spans="1:26" s="64" customFormat="1" ht="15" customHeight="1">
      <c r="A13" s="63" t="s">
        <v>11</v>
      </c>
      <c r="C13" s="65">
        <f>+COUNTIF(WoodfordW!$I$5:$I$32,"&gt;0")</f>
        <v>28</v>
      </c>
      <c r="D13" s="66">
        <f>+WoodfordW!I34</f>
        <v>159.29999999999993</v>
      </c>
      <c r="E13" s="66">
        <f>+WoodfordW!I70</f>
        <v>24.95</v>
      </c>
      <c r="F13" s="66">
        <v>-2.2</v>
      </c>
      <c r="G13" s="66">
        <f t="shared" si="0"/>
        <v>182.04999999999993</v>
      </c>
      <c r="H13" s="66">
        <f t="shared" si="1"/>
        <v>12.05</v>
      </c>
      <c r="I13" s="66">
        <f>+WoodfordW!I48</f>
        <v>8.25</v>
      </c>
      <c r="J13" s="67">
        <f t="shared" si="2"/>
        <v>202.34999999999994</v>
      </c>
      <c r="L13" s="65">
        <f>+COUNTIF(WoodfordW!$J$5:$J$32,"&gt;0")</f>
        <v>19</v>
      </c>
      <c r="M13" s="66">
        <f>+WoodfordW!J34</f>
        <v>109.44999999999999</v>
      </c>
      <c r="O13" s="65">
        <f>+COUNTIF(WoodfordW!$K$5:$K$32,"&gt;0")</f>
        <v>13</v>
      </c>
      <c r="P13" s="66">
        <f>+WoodfordW!K34</f>
        <v>80.8</v>
      </c>
      <c r="R13" s="65">
        <f>+COUNTIF(WoodfordW!$L$5:$L$32,"&gt;0")</f>
        <v>10</v>
      </c>
      <c r="S13" s="66">
        <f>+WoodfordW!L34</f>
        <v>57.3</v>
      </c>
      <c r="U13" s="65">
        <f>+COUNTIF(WoodfordW!$M$5:$M$32,"&gt;0")</f>
        <v>5</v>
      </c>
      <c r="V13" s="66">
        <f>+WoodfordW!M34</f>
        <v>35.35</v>
      </c>
      <c r="X13" s="68">
        <v>4</v>
      </c>
      <c r="Y13" s="68">
        <v>3</v>
      </c>
      <c r="Z13" s="65">
        <f>P30+M30</f>
        <v>375</v>
      </c>
    </row>
    <row r="14" spans="1:26" s="64" customFormat="1" ht="15" customHeight="1">
      <c r="A14" s="63" t="s">
        <v>7</v>
      </c>
      <c r="C14" s="65">
        <f>+COUNTIF(Barton!$I$5:$I$32,"&gt;0")</f>
        <v>28</v>
      </c>
      <c r="D14" s="66">
        <f>+Barton!I34</f>
        <v>169.74999999999994</v>
      </c>
      <c r="E14" s="66">
        <f>+Barton!I65</f>
        <v>15.15</v>
      </c>
      <c r="F14" s="66">
        <v>0</v>
      </c>
      <c r="G14" s="66">
        <f t="shared" si="0"/>
        <v>184.89999999999995</v>
      </c>
      <c r="H14" s="66">
        <f t="shared" si="1"/>
        <v>14.9</v>
      </c>
      <c r="I14" s="66">
        <f>+Barton!I48</f>
        <v>0.4</v>
      </c>
      <c r="J14" s="67">
        <f t="shared" si="2"/>
        <v>200.19999999999996</v>
      </c>
      <c r="L14" s="65">
        <f>+COUNTIF(Barton!$J$5:$J$32,"&gt;0")</f>
        <v>17</v>
      </c>
      <c r="M14" s="66">
        <f>+Barton!J34</f>
        <v>139.35000000000002</v>
      </c>
      <c r="O14" s="65">
        <f>+COUNTIF(Barton!$K$5:$K$32,"&gt;0")</f>
        <v>13</v>
      </c>
      <c r="P14" s="66">
        <f>+Barton!K34</f>
        <v>115.25000000000001</v>
      </c>
      <c r="R14" s="65">
        <f>+COUNTIF(Barton!$L$5:$L$32,"&gt;0")</f>
        <v>3</v>
      </c>
      <c r="S14" s="66">
        <f>+Barton!L34</f>
        <v>44.3</v>
      </c>
      <c r="U14" s="65">
        <f>+COUNTIF(Barton!$M$5:$M$32,"&gt;0")</f>
        <v>1</v>
      </c>
      <c r="V14" s="66">
        <f>+Barton!M34</f>
        <v>27</v>
      </c>
      <c r="X14" s="68">
        <v>11</v>
      </c>
      <c r="Y14" s="68"/>
      <c r="Z14" s="65"/>
    </row>
    <row r="15" spans="1:26" s="64" customFormat="1" ht="15" customHeight="1">
      <c r="A15" s="63" t="s">
        <v>102</v>
      </c>
      <c r="C15" s="65">
        <f>+COUNTIF(Uberoi!$I$5:$I$32,"&gt;0")</f>
        <v>25</v>
      </c>
      <c r="D15" s="66">
        <f>+Uberoi!I34</f>
        <v>164.6999999999999</v>
      </c>
      <c r="E15" s="66">
        <f>+Uberoi!I69</f>
        <v>12.200000000000001</v>
      </c>
      <c r="F15" s="66">
        <v>0</v>
      </c>
      <c r="G15" s="66">
        <f t="shared" si="0"/>
        <v>176.8999999999999</v>
      </c>
      <c r="H15" s="66">
        <f t="shared" si="1"/>
        <v>6.9</v>
      </c>
      <c r="I15" s="66">
        <f>+Uberoi!I47</f>
        <v>6.2</v>
      </c>
      <c r="J15" s="67">
        <f t="shared" si="2"/>
        <v>189.9999999999999</v>
      </c>
      <c r="L15" s="65">
        <f>+COUNTIF(Uberoi!$J$5:$J$32,"&gt;0")</f>
        <v>7</v>
      </c>
      <c r="M15" s="66">
        <f>+Uberoi!J34</f>
        <v>78.49999999999999</v>
      </c>
      <c r="O15" s="65">
        <f>+COUNTIF(Uberoi!$K$5:$K$32,"&gt;0")</f>
        <v>2</v>
      </c>
      <c r="P15" s="66">
        <f>+Uberoi!K34</f>
        <v>35.85</v>
      </c>
      <c r="R15" s="65">
        <f>+COUNTIF(Uberoi!$L$5:$L$32,"&gt;0")</f>
        <v>1</v>
      </c>
      <c r="S15" s="66">
        <f>+Uberoi!L34</f>
        <v>18.35</v>
      </c>
      <c r="U15" s="65">
        <f>+COUNTIF(Uberoi!$M$5:$M$32,"&gt;0")</f>
        <v>0</v>
      </c>
      <c r="V15" s="66">
        <f>+Uberoi!M34</f>
        <v>0</v>
      </c>
      <c r="X15" s="68">
        <v>7</v>
      </c>
      <c r="Y15" s="68"/>
      <c r="Z15" s="65">
        <f>S28</f>
        <v>117</v>
      </c>
    </row>
    <row r="16" spans="1:26" s="64" customFormat="1" ht="15" customHeight="1">
      <c r="A16" s="63" t="s">
        <v>359</v>
      </c>
      <c r="C16" s="65">
        <f>+COUNTIF(Konsul!$I$5:$I$32,"&gt;0")</f>
        <v>28</v>
      </c>
      <c r="D16" s="66">
        <f>+Konsul!I34</f>
        <v>147.89999999999992</v>
      </c>
      <c r="E16" s="66">
        <f>+Konsul!I73</f>
        <v>19.349999999999998</v>
      </c>
      <c r="F16" s="66">
        <v>0</v>
      </c>
      <c r="G16" s="66">
        <f t="shared" si="0"/>
        <v>167.24999999999991</v>
      </c>
      <c r="H16" s="66">
        <f t="shared" si="1"/>
        <v>0</v>
      </c>
      <c r="I16" s="66">
        <f>+Konsul!I48</f>
        <v>9.35</v>
      </c>
      <c r="J16" s="67">
        <f t="shared" si="2"/>
        <v>176.5999999999999</v>
      </c>
      <c r="L16" s="65">
        <f>+COUNTIF(Konsul!$J$5:$J$32,"&gt;0")</f>
        <v>14</v>
      </c>
      <c r="M16" s="66">
        <f>+Konsul!J34</f>
        <v>98.85</v>
      </c>
      <c r="O16" s="65">
        <f>+COUNTIF(Konsul!$K$5:$K$32,"&gt;0")</f>
        <v>5</v>
      </c>
      <c r="P16" s="66">
        <f>+Konsul!K34</f>
        <v>31.1</v>
      </c>
      <c r="R16" s="65">
        <f>+COUNTIF(Konsul!$L$5:$L$32,"&gt;0")</f>
        <v>3</v>
      </c>
      <c r="S16" s="66">
        <f>+Konsul!L34</f>
        <v>24.45</v>
      </c>
      <c r="U16" s="65">
        <f>+COUNTIF(Konsul!$M$5:$M$32,"&gt;0")</f>
        <v>2</v>
      </c>
      <c r="V16" s="66">
        <f>+Konsul!M34</f>
        <v>16.45</v>
      </c>
      <c r="X16" s="68">
        <v>10</v>
      </c>
      <c r="Y16" s="68"/>
      <c r="Z16" s="65">
        <f>S31</f>
        <v>22</v>
      </c>
    </row>
    <row r="17" spans="1:26" s="64" customFormat="1" ht="15" customHeight="1">
      <c r="A17" s="63" t="s">
        <v>10</v>
      </c>
      <c r="C17" s="65">
        <f>+COUNTIF(WoodfordB!$I$5:$I$32,"&gt;0")</f>
        <v>28</v>
      </c>
      <c r="D17" s="66">
        <f>+WoodfordB!I34</f>
        <v>143.54999999999995</v>
      </c>
      <c r="E17" s="66">
        <f>+WoodfordB!I72</f>
        <v>40.55</v>
      </c>
      <c r="F17" s="66">
        <f>-13.65-4.1</f>
        <v>-17.75</v>
      </c>
      <c r="G17" s="66">
        <f t="shared" si="0"/>
        <v>166.34999999999997</v>
      </c>
      <c r="H17" s="66">
        <f t="shared" si="1"/>
        <v>0</v>
      </c>
      <c r="I17" s="66">
        <f>+WoodfordB!I48</f>
        <v>7.3</v>
      </c>
      <c r="J17" s="67">
        <f t="shared" si="2"/>
        <v>173.64999999999998</v>
      </c>
      <c r="L17" s="65">
        <f>+COUNTIF(WoodfordB!$J$5:$J$32,"&gt;0")</f>
        <v>17</v>
      </c>
      <c r="M17" s="66">
        <f>+WoodfordB!J34</f>
        <v>114.95</v>
      </c>
      <c r="O17" s="65">
        <f>+COUNTIF(WoodfordB!$K$5:$K$32,"&gt;0")</f>
        <v>7</v>
      </c>
      <c r="P17" s="66">
        <f>+WoodfordB!K34</f>
        <v>58.400000000000006</v>
      </c>
      <c r="R17" s="65">
        <f>+COUNTIF(WoodfordB!$L$5:$L$32,"&gt;0")</f>
        <v>3</v>
      </c>
      <c r="S17" s="66">
        <f>+WoodfordB!L34</f>
        <v>33.45</v>
      </c>
      <c r="U17" s="65">
        <f>+COUNTIF(WoodfordB!$M$5:$M$32,"&gt;0")</f>
        <v>2</v>
      </c>
      <c r="V17" s="66">
        <f>+WoodfordB!M34</f>
        <v>19.8</v>
      </c>
      <c r="X17" s="68">
        <v>5</v>
      </c>
      <c r="Y17" s="68"/>
      <c r="Z17" s="65">
        <f>P31</f>
        <v>211</v>
      </c>
    </row>
    <row r="18" spans="1:26" s="64" customFormat="1" ht="15" customHeight="1">
      <c r="A18" s="63" t="s">
        <v>91</v>
      </c>
      <c r="C18" s="65">
        <f>+COUNTIF(Kumar!$I$5:$I$32,"&gt;0")</f>
        <v>28</v>
      </c>
      <c r="D18" s="66">
        <f>+Kumar!I34</f>
        <v>158.2499999999999</v>
      </c>
      <c r="E18" s="66">
        <f>+Kumar!I70</f>
        <v>6.65</v>
      </c>
      <c r="F18" s="66">
        <v>-1.55</v>
      </c>
      <c r="G18" s="66">
        <f t="shared" si="0"/>
        <v>163.34999999999988</v>
      </c>
      <c r="H18" s="66">
        <f t="shared" si="1"/>
        <v>0</v>
      </c>
      <c r="I18" s="66">
        <f>+Kumar!I48</f>
        <v>0</v>
      </c>
      <c r="J18" s="67">
        <f t="shared" si="2"/>
        <v>163.34999999999988</v>
      </c>
      <c r="L18" s="65">
        <f>+COUNTIF(Kumar!$J$5:$J$32,"&gt;0")</f>
        <v>15</v>
      </c>
      <c r="M18" s="66">
        <f>+Kumar!J34</f>
        <v>121.85000000000001</v>
      </c>
      <c r="O18" s="65">
        <f>+COUNTIF(Kumar!$K$5:$K$32,"&gt;0")</f>
        <v>11</v>
      </c>
      <c r="P18" s="66">
        <f>+Kumar!K34</f>
        <v>102.45</v>
      </c>
      <c r="R18" s="65">
        <f>+COUNTIF(Kumar!$L$5:$L$32,"&gt;0")</f>
        <v>7</v>
      </c>
      <c r="S18" s="66">
        <f>+Kumar!L34</f>
        <v>78.60000000000001</v>
      </c>
      <c r="U18" s="65">
        <f>+COUNTIF(Kumar!$M$5:$M$32,"&gt;0")</f>
        <v>0</v>
      </c>
      <c r="V18" s="66">
        <f>+Kumar!M34</f>
        <v>0</v>
      </c>
      <c r="X18" s="68">
        <v>14</v>
      </c>
      <c r="Y18" s="68"/>
      <c r="Z18" s="65"/>
    </row>
    <row r="19" spans="1:26" s="64" customFormat="1" ht="15" customHeight="1">
      <c r="A19" s="63" t="s">
        <v>86</v>
      </c>
      <c r="C19" s="65">
        <f>+COUNTIF(Biegler!$I$5:$I$32,"&gt;0")</f>
        <v>28</v>
      </c>
      <c r="D19" s="66">
        <f>+Biegler!I34</f>
        <v>136.54999999999995</v>
      </c>
      <c r="E19" s="66">
        <f>+Biegler!I67</f>
        <v>8.5</v>
      </c>
      <c r="F19" s="66">
        <v>0</v>
      </c>
      <c r="G19" s="66">
        <f t="shared" si="0"/>
        <v>145.04999999999995</v>
      </c>
      <c r="H19" s="66">
        <f t="shared" si="1"/>
        <v>0</v>
      </c>
      <c r="I19" s="66">
        <f>+Biegler!I48</f>
        <v>5.15</v>
      </c>
      <c r="J19" s="67">
        <f t="shared" si="2"/>
        <v>150.19999999999996</v>
      </c>
      <c r="L19" s="65">
        <f>+COUNTIF(Biegler!$J$5:$J$32,"&gt;0")</f>
        <v>13</v>
      </c>
      <c r="M19" s="66">
        <f>+Biegler!J34</f>
        <v>98.65</v>
      </c>
      <c r="O19" s="65">
        <f>+COUNTIF(Biegler!$K$5:$K$32,"&gt;0")</f>
        <v>10</v>
      </c>
      <c r="P19" s="66">
        <f>+Biegler!K34</f>
        <v>80.95</v>
      </c>
      <c r="R19" s="65">
        <f>+COUNTIF(Biegler!$L$5:$L$32,"&gt;0")</f>
        <v>9</v>
      </c>
      <c r="S19" s="66">
        <f>+Biegler!L34</f>
        <v>71.7</v>
      </c>
      <c r="U19" s="65">
        <f>+COUNTIF(Biegler!$M$5:$M$32,"&gt;0")</f>
        <v>0</v>
      </c>
      <c r="V19" s="66">
        <f>+Biegler!M34</f>
        <v>0</v>
      </c>
      <c r="X19" s="68">
        <v>15</v>
      </c>
      <c r="Y19" s="68"/>
      <c r="Z19" s="65"/>
    </row>
    <row r="20" spans="1:26" s="64" customFormat="1" ht="15" customHeight="1">
      <c r="A20" s="63" t="s">
        <v>93</v>
      </c>
      <c r="C20" s="65">
        <f>+COUNTIF(Wilt!$I$5:$I$32,"&gt;0")</f>
        <v>18</v>
      </c>
      <c r="D20" s="66">
        <f>+Wilt!I34</f>
        <v>132.99999999999997</v>
      </c>
      <c r="E20" s="66">
        <f>+Wilt!I65</f>
        <v>3.45</v>
      </c>
      <c r="F20" s="66">
        <v>0</v>
      </c>
      <c r="G20" s="66">
        <f t="shared" si="0"/>
        <v>136.44999999999996</v>
      </c>
      <c r="H20" s="66">
        <f t="shared" si="1"/>
        <v>0</v>
      </c>
      <c r="I20" s="66">
        <f>+Wilt!I48</f>
        <v>2.1</v>
      </c>
      <c r="J20" s="67">
        <f t="shared" si="2"/>
        <v>138.54999999999995</v>
      </c>
      <c r="L20" s="65">
        <f>+COUNTIF(Wilt!$J$5:$J$32,"&gt;0")</f>
        <v>1</v>
      </c>
      <c r="M20" s="66">
        <f>+Wilt!J34</f>
        <v>14</v>
      </c>
      <c r="O20" s="65">
        <f>+COUNTIF(Wilt!$K$5:$K$32,"&gt;0")</f>
        <v>0</v>
      </c>
      <c r="P20" s="66">
        <f>+Wilt!K34</f>
        <v>0</v>
      </c>
      <c r="R20" s="65">
        <f>+COUNTIF(Wilt!$L$5:$L$32,"&gt;0")</f>
        <v>0</v>
      </c>
      <c r="S20" s="66">
        <f>+Wilt!L34</f>
        <v>0</v>
      </c>
      <c r="U20" s="65">
        <f>+COUNTIF(Wilt!$M$5:$M$32,"&gt;0")</f>
        <v>0</v>
      </c>
      <c r="V20" s="66">
        <f>+Wilt!M34</f>
        <v>0</v>
      </c>
      <c r="X20" s="68">
        <v>16</v>
      </c>
      <c r="Y20" s="68"/>
      <c r="Z20" s="65"/>
    </row>
    <row r="21" spans="1:26" s="64" customFormat="1" ht="15" customHeight="1">
      <c r="A21" s="63" t="s">
        <v>87</v>
      </c>
      <c r="C21" s="65">
        <f>+COUNTIF(Chockalingam!$I$5:$I$32,"&gt;0")</f>
        <v>28</v>
      </c>
      <c r="D21" s="66">
        <f>+Chockalingam!I34</f>
        <v>127.89999999999999</v>
      </c>
      <c r="E21" s="66">
        <f>+Chockalingam!I65</f>
        <v>4.15</v>
      </c>
      <c r="F21" s="66">
        <v>0</v>
      </c>
      <c r="G21" s="66">
        <f t="shared" si="0"/>
        <v>132.04999999999998</v>
      </c>
      <c r="H21" s="66">
        <f t="shared" si="1"/>
        <v>0</v>
      </c>
      <c r="I21" s="66">
        <f>+Chockalingam!I48</f>
        <v>3.6500000000000004</v>
      </c>
      <c r="J21" s="67">
        <f t="shared" si="2"/>
        <v>135.7</v>
      </c>
      <c r="L21" s="65">
        <f>+COUNTIF(Chockalingam!$J$5:$J$32,"&gt;0")</f>
        <v>20</v>
      </c>
      <c r="M21" s="66">
        <f>+Chockalingam!J34</f>
        <v>92.79999999999998</v>
      </c>
      <c r="O21" s="65">
        <f>+COUNTIF(Chockalingam!$K$5:$K$32,"&gt;0")</f>
        <v>6</v>
      </c>
      <c r="P21" s="66">
        <f>+Chockalingam!K34</f>
        <v>44.5</v>
      </c>
      <c r="R21" s="65">
        <f>+COUNTIF(Chockalingam!$L$5:$L$32,"&gt;0")</f>
        <v>0</v>
      </c>
      <c r="S21" s="66">
        <f>+Chockalingam!L34</f>
        <v>0</v>
      </c>
      <c r="U21" s="65">
        <f>+COUNTIF(Chockalingam!$M$5:$M$32,"&gt;0")</f>
        <v>0</v>
      </c>
      <c r="V21" s="66">
        <f>+Chockalingam!M34</f>
        <v>0</v>
      </c>
      <c r="X21" s="68">
        <v>12</v>
      </c>
      <c r="Y21" s="68"/>
      <c r="Z21" s="65"/>
    </row>
    <row r="22" spans="1:26" s="64" customFormat="1" ht="15" customHeight="1">
      <c r="A22" s="63" t="s">
        <v>9</v>
      </c>
      <c r="C22" s="65">
        <f>+COUNTIF(Rittenhouse!$I$5:$I$32,"&gt;0")</f>
        <v>28</v>
      </c>
      <c r="D22" s="66">
        <f>+Rittenhouse!I34</f>
        <v>125.70000000000005</v>
      </c>
      <c r="E22" s="66">
        <f>+Rittenhouse!I74</f>
        <v>16.45</v>
      </c>
      <c r="F22" s="66">
        <f>-15.4-0.45-0.6-0.6-1.4</f>
        <v>-18.45</v>
      </c>
      <c r="G22" s="66">
        <f t="shared" si="0"/>
        <v>123.70000000000003</v>
      </c>
      <c r="H22" s="66">
        <f t="shared" si="1"/>
        <v>0</v>
      </c>
      <c r="I22" s="66">
        <f>+Rittenhouse!I48</f>
        <v>9.2</v>
      </c>
      <c r="J22" s="67">
        <f t="shared" si="2"/>
        <v>132.90000000000003</v>
      </c>
      <c r="L22" s="65">
        <f>+COUNTIF(Rittenhouse!$J$5:$J$32,"&gt;0")</f>
        <v>15</v>
      </c>
      <c r="M22" s="66">
        <f>+Rittenhouse!J34</f>
        <v>94.9</v>
      </c>
      <c r="O22" s="65">
        <f>+COUNTIF(Rittenhouse!$K$5:$K$32,"&gt;0")</f>
        <v>14</v>
      </c>
      <c r="P22" s="66">
        <f>+Rittenhouse!K34</f>
        <v>85.5</v>
      </c>
      <c r="R22" s="65">
        <f>+COUNTIF(Rittenhouse!$L$5:$L$32,"&gt;0")</f>
        <v>3</v>
      </c>
      <c r="S22" s="66">
        <f>+Rittenhouse!L34</f>
        <v>15.549999999999999</v>
      </c>
      <c r="U22" s="65">
        <f>+COUNTIF(Rittenhouse!$M$5:$M$32,"&gt;0")</f>
        <v>1</v>
      </c>
      <c r="V22" s="66">
        <f>+Rittenhouse!M34</f>
        <v>2.7</v>
      </c>
      <c r="X22" s="68">
        <v>13</v>
      </c>
      <c r="Y22" s="68">
        <v>2</v>
      </c>
      <c r="Z22" s="65">
        <f>M29</f>
        <v>273</v>
      </c>
    </row>
    <row r="23" spans="1:26" s="64" customFormat="1" ht="15" customHeight="1" thickBot="1">
      <c r="A23" s="69"/>
      <c r="B23" s="70"/>
      <c r="C23" s="71"/>
      <c r="D23" s="118"/>
      <c r="E23" s="72"/>
      <c r="F23" s="72"/>
      <c r="G23" s="72"/>
      <c r="H23" s="72"/>
      <c r="I23" s="72"/>
      <c r="J23" s="73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X23" s="68"/>
      <c r="Y23" s="68"/>
      <c r="Z23" s="65"/>
    </row>
    <row r="24" spans="24:26" s="74" customFormat="1" ht="7.5" customHeight="1">
      <c r="X24" s="68"/>
      <c r="Y24" s="68"/>
      <c r="Z24" s="65"/>
    </row>
    <row r="25" spans="3:26" s="74" customFormat="1" ht="15.75">
      <c r="C25" s="132" t="s">
        <v>77</v>
      </c>
      <c r="D25" s="132"/>
      <c r="E25" s="132"/>
      <c r="G25" s="75" t="s">
        <v>50</v>
      </c>
      <c r="H25" s="76" t="s">
        <v>57</v>
      </c>
      <c r="I25" s="76" t="s">
        <v>2</v>
      </c>
      <c r="J25" s="76" t="s">
        <v>3</v>
      </c>
      <c r="K25" s="76"/>
      <c r="L25" s="130" t="s">
        <v>72</v>
      </c>
      <c r="M25" s="130"/>
      <c r="O25" s="130" t="s">
        <v>73</v>
      </c>
      <c r="P25" s="130"/>
      <c r="Q25" s="130"/>
      <c r="R25" s="130"/>
      <c r="S25" s="130"/>
      <c r="X25" s="68"/>
      <c r="Y25" s="68"/>
      <c r="Z25" s="65"/>
    </row>
    <row r="26" spans="7:26" s="74" customFormat="1" ht="6" customHeight="1">
      <c r="G26" s="77"/>
      <c r="H26" s="78"/>
      <c r="X26" s="79"/>
      <c r="Y26" s="79"/>
      <c r="Z26" s="80"/>
    </row>
    <row r="27" spans="3:26" s="74" customFormat="1" ht="15.75">
      <c r="C27" s="131" t="s">
        <v>58</v>
      </c>
      <c r="D27" s="131"/>
      <c r="E27" s="127">
        <f>+SUM(G7:G22)</f>
        <v>2766.3499999999985</v>
      </c>
      <c r="F27" s="127"/>
      <c r="G27" s="81">
        <v>2015</v>
      </c>
      <c r="H27" s="82">
        <v>170</v>
      </c>
      <c r="I27" s="80">
        <f>SUM(C7:C22)</f>
        <v>430</v>
      </c>
      <c r="J27" s="83">
        <f>+SUM(G7:G22)</f>
        <v>2766.3499999999985</v>
      </c>
      <c r="K27" s="83"/>
      <c r="L27" s="81" t="s">
        <v>56</v>
      </c>
      <c r="M27" s="83">
        <f>ROUND(E31*0.25,0)</f>
        <v>781</v>
      </c>
      <c r="N27" s="83"/>
      <c r="O27" s="81" t="s">
        <v>62</v>
      </c>
      <c r="P27" s="82">
        <f>+ROUND(($E$31-M27)*0.29,0)</f>
        <v>679</v>
      </c>
      <c r="R27" s="81" t="s">
        <v>67</v>
      </c>
      <c r="S27" s="82">
        <f>+ROUND(($E$31-M27)*0.07,0)</f>
        <v>164</v>
      </c>
      <c r="X27" s="79"/>
      <c r="Y27" s="79"/>
      <c r="Z27" s="80"/>
    </row>
    <row r="28" spans="3:26" s="74" customFormat="1" ht="15.75">
      <c r="C28" s="131" t="s">
        <v>12</v>
      </c>
      <c r="D28" s="131"/>
      <c r="E28" s="127">
        <f>+SUM(H7:H22)</f>
        <v>454.09999999999997</v>
      </c>
      <c r="F28" s="127"/>
      <c r="G28" s="81">
        <v>2016</v>
      </c>
      <c r="H28" s="82">
        <v>185</v>
      </c>
      <c r="I28" s="80">
        <f>SUM(L7:L22)</f>
        <v>230</v>
      </c>
      <c r="J28" s="83">
        <f>SUM(M7:M22)</f>
        <v>1672.05</v>
      </c>
      <c r="K28" s="83"/>
      <c r="L28" s="81" t="s">
        <v>62</v>
      </c>
      <c r="M28" s="83">
        <f>ROUND(0.5*M27,0)</f>
        <v>391</v>
      </c>
      <c r="N28" s="83"/>
      <c r="O28" s="81" t="s">
        <v>63</v>
      </c>
      <c r="P28" s="82">
        <f>+ROUND(($E$31-M27)*0.18,0)</f>
        <v>422</v>
      </c>
      <c r="R28" s="81" t="s">
        <v>68</v>
      </c>
      <c r="S28" s="82">
        <f>+ROUND(($E$31-M27)*0.05,0)</f>
        <v>117</v>
      </c>
      <c r="X28" s="79"/>
      <c r="Y28" s="79"/>
      <c r="Z28" s="80"/>
    </row>
    <row r="29" spans="3:26" s="74" customFormat="1" ht="15.75">
      <c r="C29" s="131" t="s">
        <v>55</v>
      </c>
      <c r="D29" s="131"/>
      <c r="E29" s="127">
        <f>+SUM(I7:I22)</f>
        <v>123.15</v>
      </c>
      <c r="F29" s="127"/>
      <c r="G29" s="81">
        <v>2017</v>
      </c>
      <c r="H29" s="82">
        <v>200</v>
      </c>
      <c r="I29" s="80">
        <f>SUM(O7:O22)</f>
        <v>146</v>
      </c>
      <c r="J29" s="83">
        <f>SUM(P7:P22)</f>
        <v>1133.15</v>
      </c>
      <c r="K29" s="83"/>
      <c r="L29" s="81" t="s">
        <v>63</v>
      </c>
      <c r="M29" s="83">
        <f>ROUND(0.35*M27,0)</f>
        <v>273</v>
      </c>
      <c r="N29" s="83"/>
      <c r="O29" s="81" t="s">
        <v>64</v>
      </c>
      <c r="P29" s="82">
        <f>+ROUND(($E$31-M27)*0.14,0)</f>
        <v>328</v>
      </c>
      <c r="R29" s="81" t="s">
        <v>69</v>
      </c>
      <c r="S29" s="82">
        <f>+ROUND(($E$31-M27)*0.04,0)</f>
        <v>94</v>
      </c>
      <c r="X29" s="79"/>
      <c r="Y29" s="79"/>
      <c r="Z29" s="80"/>
    </row>
    <row r="30" spans="1:26" s="74" customFormat="1" ht="15.75">
      <c r="A30" s="84"/>
      <c r="C30" s="131" t="s">
        <v>59</v>
      </c>
      <c r="D30" s="131"/>
      <c r="E30" s="127">
        <f>+SUM(J7:J22)</f>
        <v>3343.599999999999</v>
      </c>
      <c r="F30" s="127"/>
      <c r="G30" s="81">
        <v>2018</v>
      </c>
      <c r="H30" s="82">
        <v>215</v>
      </c>
      <c r="I30" s="80">
        <f>SUM(R7:R22)</f>
        <v>68</v>
      </c>
      <c r="J30" s="83">
        <f>SUM(S7:S22)</f>
        <v>592.65</v>
      </c>
      <c r="K30" s="83"/>
      <c r="L30" s="81" t="s">
        <v>64</v>
      </c>
      <c r="M30" s="83">
        <f>M27-M28-M29</f>
        <v>117</v>
      </c>
      <c r="N30" s="83"/>
      <c r="O30" s="81" t="s">
        <v>65</v>
      </c>
      <c r="P30" s="82">
        <f>+ROUND(($E$31-M27)*0.11,0)</f>
        <v>258</v>
      </c>
      <c r="R30" s="81" t="s">
        <v>70</v>
      </c>
      <c r="S30" s="82">
        <f>+ROUND(($E$31-M27)*0.02,0)</f>
        <v>47</v>
      </c>
      <c r="X30" s="79"/>
      <c r="Y30" s="79"/>
      <c r="Z30" s="80"/>
    </row>
    <row r="31" spans="3:26" s="74" customFormat="1" ht="15.75">
      <c r="C31" s="131" t="s">
        <v>60</v>
      </c>
      <c r="D31" s="131"/>
      <c r="E31" s="126">
        <f>FLOOR(SUMIF(J7:J22,"&lt;=170",J7:J22)+170*COUNTIF(J7:J22,"&gt;170"),1)+533</f>
        <v>3123</v>
      </c>
      <c r="F31" s="126"/>
      <c r="G31" s="81">
        <v>2019</v>
      </c>
      <c r="H31" s="82">
        <v>230</v>
      </c>
      <c r="I31" s="80">
        <f>SUM(U7:U22)</f>
        <v>24</v>
      </c>
      <c r="J31" s="83">
        <f>SUM(V7:V22)</f>
        <v>199.7</v>
      </c>
      <c r="K31" s="83"/>
      <c r="L31" s="81"/>
      <c r="M31" s="83"/>
      <c r="N31" s="83"/>
      <c r="O31" s="81" t="s">
        <v>66</v>
      </c>
      <c r="P31" s="82">
        <f>+ROUND(($E$31-M27)*0.09,0)</f>
        <v>211</v>
      </c>
      <c r="R31" s="81" t="s">
        <v>71</v>
      </c>
      <c r="S31" s="82">
        <f>(E31-M27)-SUM(P27:P31)-SUM(S27:S30)</f>
        <v>22</v>
      </c>
      <c r="X31" s="79"/>
      <c r="Y31" s="79"/>
      <c r="Z31" s="80"/>
    </row>
    <row r="32" spans="1:26" s="74" customFormat="1" ht="15.75">
      <c r="A32" s="84"/>
      <c r="C32" s="131" t="s">
        <v>61</v>
      </c>
      <c r="D32" s="131"/>
      <c r="E32" s="126">
        <f>+E30-E31+533.7-37.75-50</f>
        <v>666.549999999999</v>
      </c>
      <c r="F32" s="126"/>
      <c r="X32" s="79"/>
      <c r="Y32" s="79"/>
      <c r="Z32" s="80"/>
    </row>
    <row r="33" spans="1:26" s="74" customFormat="1" ht="16.5" thickBot="1">
      <c r="A33" s="84"/>
      <c r="C33" s="85"/>
      <c r="D33" s="85"/>
      <c r="E33" s="86"/>
      <c r="X33" s="79"/>
      <c r="Y33" s="79"/>
      <c r="Z33" s="80"/>
    </row>
    <row r="34" spans="1:26" s="74" customFormat="1" ht="12.75">
      <c r="A34" s="87"/>
      <c r="B34" s="128"/>
      <c r="C34" s="12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X34" s="79"/>
      <c r="Y34" s="79"/>
      <c r="Z34" s="80"/>
    </row>
    <row r="35" spans="3:10" ht="12.75">
      <c r="C35" s="40"/>
      <c r="D35" s="125"/>
      <c r="E35" s="125"/>
      <c r="G35" s="40"/>
      <c r="H35" s="125"/>
      <c r="I35" s="125"/>
      <c r="J35" s="125"/>
    </row>
    <row r="36" spans="3:10" ht="12.75">
      <c r="C36" s="40"/>
      <c r="D36" s="125"/>
      <c r="E36" s="125"/>
      <c r="G36" s="40"/>
      <c r="H36" s="125"/>
      <c r="I36" s="125"/>
      <c r="J36" s="125"/>
    </row>
    <row r="37" spans="3:10" ht="12.75">
      <c r="C37" s="40"/>
      <c r="D37" s="125"/>
      <c r="E37" s="125"/>
      <c r="G37" s="40"/>
      <c r="H37" s="125"/>
      <c r="I37" s="125"/>
      <c r="J37" s="125"/>
    </row>
    <row r="38" spans="3:5" ht="12.75">
      <c r="C38" s="40"/>
      <c r="D38" s="125"/>
      <c r="E38" s="125"/>
    </row>
    <row r="39" spans="3:5" ht="12.75">
      <c r="C39" s="40"/>
      <c r="D39" s="125"/>
      <c r="E39" s="125"/>
    </row>
    <row r="40" spans="3:5" ht="12.75">
      <c r="C40" s="40"/>
      <c r="D40" s="125"/>
      <c r="E40" s="125"/>
    </row>
    <row r="41" spans="3:5" ht="12.75">
      <c r="C41" s="40"/>
      <c r="D41" s="125"/>
      <c r="E41" s="125"/>
    </row>
    <row r="42" spans="3:5" ht="12.75">
      <c r="C42" s="40"/>
      <c r="D42" s="125"/>
      <c r="E42" s="125"/>
    </row>
    <row r="43" spans="3:5" ht="12.75">
      <c r="C43" s="40"/>
      <c r="D43" s="125"/>
      <c r="E43" s="125"/>
    </row>
    <row r="44" spans="3:5" ht="12.75">
      <c r="C44" s="40"/>
      <c r="D44" s="125"/>
      <c r="E44" s="125"/>
    </row>
    <row r="45" spans="3:5" ht="12.75">
      <c r="C45" s="40"/>
      <c r="D45" s="125"/>
      <c r="E45" s="125"/>
    </row>
    <row r="46" spans="3:5" ht="12.75">
      <c r="C46" s="40"/>
      <c r="D46" s="125"/>
      <c r="E46" s="125"/>
    </row>
    <row r="47" spans="3:5" ht="12.75">
      <c r="C47" s="40"/>
      <c r="D47" s="125"/>
      <c r="E47" s="125"/>
    </row>
    <row r="48" spans="3:5" ht="12.75">
      <c r="C48" s="40"/>
      <c r="D48" s="125"/>
      <c r="E48" s="125"/>
    </row>
    <row r="49" spans="3:5" ht="12.75">
      <c r="C49" s="40"/>
      <c r="D49" s="125"/>
      <c r="E49" s="125"/>
    </row>
    <row r="50" spans="3:5" ht="12.75">
      <c r="C50" s="40"/>
      <c r="D50" s="125"/>
      <c r="E50" s="125"/>
    </row>
    <row r="51" spans="3:5" ht="12.75">
      <c r="C51" s="40"/>
      <c r="D51" s="125"/>
      <c r="E51" s="125"/>
    </row>
    <row r="52" spans="3:5" ht="12.75">
      <c r="C52" s="40"/>
      <c r="D52" s="125"/>
      <c r="E52" s="125"/>
    </row>
    <row r="53" spans="3:5" ht="12.75">
      <c r="C53" s="40"/>
      <c r="D53" s="125"/>
      <c r="E53" s="125"/>
    </row>
    <row r="54" spans="3:5" ht="12.75">
      <c r="C54" s="40"/>
      <c r="D54" s="125"/>
      <c r="E54" s="125"/>
    </row>
  </sheetData>
  <sheetProtection/>
  <mergeCells count="45">
    <mergeCell ref="E31:F31"/>
    <mergeCell ref="C25:E25"/>
    <mergeCell ref="P1:V1"/>
    <mergeCell ref="E29:F29"/>
    <mergeCell ref="C29:D29"/>
    <mergeCell ref="L25:M25"/>
    <mergeCell ref="C27:D27"/>
    <mergeCell ref="C28:D28"/>
    <mergeCell ref="E27:F27"/>
    <mergeCell ref="E28:F28"/>
    <mergeCell ref="B34:C34"/>
    <mergeCell ref="U3:V3"/>
    <mergeCell ref="C3:J3"/>
    <mergeCell ref="L3:M3"/>
    <mergeCell ref="O3:P3"/>
    <mergeCell ref="R3:S3"/>
    <mergeCell ref="O25:S25"/>
    <mergeCell ref="C32:D32"/>
    <mergeCell ref="C30:D30"/>
    <mergeCell ref="C31:D31"/>
    <mergeCell ref="D38:E38"/>
    <mergeCell ref="D39:E39"/>
    <mergeCell ref="D40:E40"/>
    <mergeCell ref="D41:E41"/>
    <mergeCell ref="D35:E35"/>
    <mergeCell ref="D36:E36"/>
    <mergeCell ref="D37:E37"/>
    <mergeCell ref="E32:F32"/>
    <mergeCell ref="E30:F30"/>
    <mergeCell ref="D54:E54"/>
    <mergeCell ref="H35:J35"/>
    <mergeCell ref="H36:J36"/>
    <mergeCell ref="H37:J37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</mergeCells>
  <printOptions horizontalCentered="1"/>
  <pageMargins left="0.25" right="0.25" top="0.75" bottom="0.75" header="0.5" footer="0.5"/>
  <pageSetup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54" t="s">
        <v>567</v>
      </c>
      <c r="C5" s="56" t="s">
        <v>19</v>
      </c>
      <c r="D5" s="56" t="s">
        <v>35</v>
      </c>
      <c r="E5" s="57" t="s">
        <v>441</v>
      </c>
      <c r="F5" s="21">
        <v>2.95</v>
      </c>
      <c r="G5" s="8">
        <v>2019</v>
      </c>
      <c r="I5" s="23">
        <f aca="true" t="shared" si="0" ref="I5:M14">+IF($G5&gt;=I$3,$F5,0)</f>
        <v>2.95</v>
      </c>
      <c r="J5" s="23">
        <f t="shared" si="0"/>
        <v>2.95</v>
      </c>
      <c r="K5" s="23">
        <f t="shared" si="0"/>
        <v>2.95</v>
      </c>
      <c r="L5" s="23">
        <f t="shared" si="0"/>
        <v>2.95</v>
      </c>
      <c r="M5" s="23">
        <f t="shared" si="0"/>
        <v>2.95</v>
      </c>
    </row>
    <row r="6" spans="1:13" ht="12.75">
      <c r="A6" s="15">
        <v>2</v>
      </c>
      <c r="B6" s="42" t="s">
        <v>347</v>
      </c>
      <c r="C6" s="11" t="s">
        <v>15</v>
      </c>
      <c r="D6" s="11" t="s">
        <v>23</v>
      </c>
      <c r="E6" s="20" t="s">
        <v>437</v>
      </c>
      <c r="F6" s="23">
        <v>1.55</v>
      </c>
      <c r="G6" s="20">
        <v>2018</v>
      </c>
      <c r="I6" s="23">
        <f t="shared" si="0"/>
        <v>1.55</v>
      </c>
      <c r="J6" s="23">
        <f t="shared" si="0"/>
        <v>1.55</v>
      </c>
      <c r="K6" s="23">
        <f t="shared" si="0"/>
        <v>1.55</v>
      </c>
      <c r="L6" s="23">
        <f t="shared" si="0"/>
        <v>1.55</v>
      </c>
      <c r="M6" s="23">
        <f t="shared" si="0"/>
        <v>0</v>
      </c>
    </row>
    <row r="7" spans="1:13" ht="12.75">
      <c r="A7" s="15">
        <v>3</v>
      </c>
      <c r="B7" s="42" t="s">
        <v>267</v>
      </c>
      <c r="C7" s="11" t="s">
        <v>26</v>
      </c>
      <c r="D7" s="11" t="s">
        <v>34</v>
      </c>
      <c r="E7" s="20" t="s">
        <v>47</v>
      </c>
      <c r="F7" s="21">
        <v>14</v>
      </c>
      <c r="G7" s="8">
        <v>2017</v>
      </c>
      <c r="I7" s="23">
        <f t="shared" si="0"/>
        <v>14</v>
      </c>
      <c r="J7" s="23">
        <f t="shared" si="0"/>
        <v>14</v>
      </c>
      <c r="K7" s="23">
        <f t="shared" si="0"/>
        <v>14</v>
      </c>
      <c r="L7" s="23">
        <f t="shared" si="0"/>
        <v>0</v>
      </c>
      <c r="M7" s="23">
        <f t="shared" si="0"/>
        <v>0</v>
      </c>
    </row>
    <row r="8" spans="1:13" ht="12.75">
      <c r="A8" s="15">
        <v>4</v>
      </c>
      <c r="B8" s="10" t="s">
        <v>271</v>
      </c>
      <c r="C8" s="11" t="s">
        <v>17</v>
      </c>
      <c r="D8" s="11" t="s">
        <v>438</v>
      </c>
      <c r="E8" s="20" t="s">
        <v>47</v>
      </c>
      <c r="F8" s="25">
        <v>12.25</v>
      </c>
      <c r="G8" s="11">
        <v>2017</v>
      </c>
      <c r="I8" s="23">
        <f t="shared" si="0"/>
        <v>12.25</v>
      </c>
      <c r="J8" s="23">
        <f t="shared" si="0"/>
        <v>12.25</v>
      </c>
      <c r="K8" s="23">
        <f t="shared" si="0"/>
        <v>12.25</v>
      </c>
      <c r="L8" s="23">
        <f t="shared" si="0"/>
        <v>0</v>
      </c>
      <c r="M8" s="23">
        <f t="shared" si="0"/>
        <v>0</v>
      </c>
    </row>
    <row r="9" spans="1:13" ht="12.75">
      <c r="A9" s="15">
        <v>5</v>
      </c>
      <c r="B9" s="42" t="s">
        <v>266</v>
      </c>
      <c r="C9" s="11" t="s">
        <v>17</v>
      </c>
      <c r="D9" s="11" t="s">
        <v>81</v>
      </c>
      <c r="E9" s="20" t="s">
        <v>47</v>
      </c>
      <c r="F9" s="21">
        <v>3.9</v>
      </c>
      <c r="G9" s="8">
        <v>2017</v>
      </c>
      <c r="I9" s="23">
        <f t="shared" si="0"/>
        <v>3.9</v>
      </c>
      <c r="J9" s="23">
        <f t="shared" si="0"/>
        <v>3.9</v>
      </c>
      <c r="K9" s="23">
        <f t="shared" si="0"/>
        <v>3.9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10" t="s">
        <v>281</v>
      </c>
      <c r="C10" s="11" t="s">
        <v>19</v>
      </c>
      <c r="D10" s="11" t="s">
        <v>33</v>
      </c>
      <c r="E10" s="20" t="s">
        <v>517</v>
      </c>
      <c r="F10" s="21">
        <v>3.2</v>
      </c>
      <c r="G10" s="8">
        <v>2017</v>
      </c>
      <c r="I10" s="23">
        <f t="shared" si="0"/>
        <v>3.2</v>
      </c>
      <c r="J10" s="23">
        <f t="shared" si="0"/>
        <v>3.2</v>
      </c>
      <c r="K10" s="23">
        <f t="shared" si="0"/>
        <v>3.2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10" t="s">
        <v>346</v>
      </c>
      <c r="C11" s="11" t="s">
        <v>19</v>
      </c>
      <c r="D11" s="11" t="s">
        <v>35</v>
      </c>
      <c r="E11" s="11" t="s">
        <v>47</v>
      </c>
      <c r="F11" s="25">
        <v>7.9</v>
      </c>
      <c r="G11" s="11">
        <v>2016</v>
      </c>
      <c r="I11" s="23">
        <f t="shared" si="0"/>
        <v>7.9</v>
      </c>
      <c r="J11" s="23">
        <f t="shared" si="0"/>
        <v>7.9</v>
      </c>
      <c r="K11" s="23">
        <f t="shared" si="0"/>
        <v>0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42" t="s">
        <v>443</v>
      </c>
      <c r="C12" s="11" t="s">
        <v>18</v>
      </c>
      <c r="D12" s="11" t="s">
        <v>35</v>
      </c>
      <c r="E12" s="20" t="s">
        <v>441</v>
      </c>
      <c r="F12" s="21">
        <v>7.75</v>
      </c>
      <c r="G12" s="8">
        <v>2016</v>
      </c>
      <c r="I12" s="23">
        <f t="shared" si="0"/>
        <v>7.75</v>
      </c>
      <c r="J12" s="23">
        <f t="shared" si="0"/>
        <v>7.75</v>
      </c>
      <c r="K12" s="23">
        <f t="shared" si="0"/>
        <v>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10" t="s">
        <v>104</v>
      </c>
      <c r="C13" s="11" t="s">
        <v>18</v>
      </c>
      <c r="D13" s="11" t="s">
        <v>39</v>
      </c>
      <c r="E13" s="20" t="s">
        <v>47</v>
      </c>
      <c r="F13" s="25">
        <v>5.95</v>
      </c>
      <c r="G13" s="11">
        <v>2016</v>
      </c>
      <c r="I13" s="23">
        <f t="shared" si="0"/>
        <v>5.95</v>
      </c>
      <c r="J13" s="23">
        <f t="shared" si="0"/>
        <v>5.95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10" t="s">
        <v>202</v>
      </c>
      <c r="C14" s="11" t="s">
        <v>31</v>
      </c>
      <c r="D14" s="11" t="s">
        <v>32</v>
      </c>
      <c r="E14" s="11" t="s">
        <v>434</v>
      </c>
      <c r="F14" s="25">
        <v>5.25</v>
      </c>
      <c r="G14" s="11">
        <v>2016</v>
      </c>
      <c r="I14" s="23">
        <f t="shared" si="0"/>
        <v>5.25</v>
      </c>
      <c r="J14" s="23">
        <f t="shared" si="0"/>
        <v>5.25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10" t="s">
        <v>95</v>
      </c>
      <c r="C15" s="11" t="s">
        <v>17</v>
      </c>
      <c r="D15" s="56" t="s">
        <v>33</v>
      </c>
      <c r="E15" s="20" t="s">
        <v>518</v>
      </c>
      <c r="F15" s="25">
        <v>2.05</v>
      </c>
      <c r="G15" s="11">
        <v>2016</v>
      </c>
      <c r="I15" s="23">
        <f aca="true" t="shared" si="1" ref="I15:M24">+IF($G15&gt;=I$3,$F15,0)</f>
        <v>2.05</v>
      </c>
      <c r="J15" s="23">
        <f t="shared" si="1"/>
        <v>2.05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42" t="s">
        <v>453</v>
      </c>
      <c r="C16" s="11" t="s">
        <v>15</v>
      </c>
      <c r="D16" s="11" t="s">
        <v>34</v>
      </c>
      <c r="E16" s="20" t="s">
        <v>441</v>
      </c>
      <c r="F16" s="21">
        <v>16.5</v>
      </c>
      <c r="G16" s="8">
        <v>2015</v>
      </c>
      <c r="I16" s="23">
        <f t="shared" si="1"/>
        <v>16.5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54" t="s">
        <v>114</v>
      </c>
      <c r="C17" s="11" t="s">
        <v>40</v>
      </c>
      <c r="D17" s="11" t="s">
        <v>28</v>
      </c>
      <c r="E17" s="20" t="s">
        <v>519</v>
      </c>
      <c r="F17" s="16">
        <v>10.05</v>
      </c>
      <c r="G17" s="17">
        <v>2015</v>
      </c>
      <c r="I17" s="23">
        <f t="shared" si="1"/>
        <v>10.05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10" t="s">
        <v>125</v>
      </c>
      <c r="C18" s="11" t="s">
        <v>19</v>
      </c>
      <c r="D18" s="11" t="s">
        <v>81</v>
      </c>
      <c r="E18" s="11" t="s">
        <v>433</v>
      </c>
      <c r="F18" s="23">
        <v>9.9</v>
      </c>
      <c r="G18" s="20">
        <v>2015</v>
      </c>
      <c r="I18" s="23">
        <f t="shared" si="1"/>
        <v>9.9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42" t="s">
        <v>270</v>
      </c>
      <c r="C19" s="11" t="s">
        <v>17</v>
      </c>
      <c r="D19" s="11" t="s">
        <v>44</v>
      </c>
      <c r="E19" s="20" t="s">
        <v>47</v>
      </c>
      <c r="F19" s="21">
        <v>9.65</v>
      </c>
      <c r="G19" s="8">
        <v>2015</v>
      </c>
      <c r="I19" s="23">
        <f t="shared" si="1"/>
        <v>9.65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42" t="s">
        <v>126</v>
      </c>
      <c r="C20" s="11" t="s">
        <v>17</v>
      </c>
      <c r="D20" s="11" t="s">
        <v>23</v>
      </c>
      <c r="E20" s="20" t="s">
        <v>433</v>
      </c>
      <c r="F20" s="21">
        <v>9.5</v>
      </c>
      <c r="G20" s="8">
        <v>2015</v>
      </c>
      <c r="I20" s="23">
        <f t="shared" si="1"/>
        <v>9.5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10" t="s">
        <v>516</v>
      </c>
      <c r="C21" s="11" t="s">
        <v>31</v>
      </c>
      <c r="D21" s="11" t="s">
        <v>439</v>
      </c>
      <c r="E21" s="20" t="s">
        <v>441</v>
      </c>
      <c r="F21" s="25">
        <v>5</v>
      </c>
      <c r="G21" s="17">
        <v>2015</v>
      </c>
      <c r="I21" s="23">
        <f t="shared" si="1"/>
        <v>5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42" t="s">
        <v>757</v>
      </c>
      <c r="C22" s="20" t="s">
        <v>37</v>
      </c>
      <c r="D22" s="20" t="s">
        <v>438</v>
      </c>
      <c r="E22" s="20" t="s">
        <v>594</v>
      </c>
      <c r="F22" s="21">
        <v>1.7</v>
      </c>
      <c r="G22" s="8">
        <v>2015</v>
      </c>
      <c r="I22" s="23">
        <f t="shared" si="1"/>
        <v>1.7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42" t="s">
        <v>758</v>
      </c>
      <c r="C23" s="11" t="s">
        <v>37</v>
      </c>
      <c r="D23" s="11" t="s">
        <v>28</v>
      </c>
      <c r="E23" s="20" t="s">
        <v>594</v>
      </c>
      <c r="F23" s="21">
        <v>1.7</v>
      </c>
      <c r="G23" s="8">
        <v>2015</v>
      </c>
      <c r="I23" s="23">
        <f t="shared" si="1"/>
        <v>1.7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54" t="s">
        <v>759</v>
      </c>
      <c r="C24" s="56" t="s">
        <v>17</v>
      </c>
      <c r="D24" s="56" t="s">
        <v>38</v>
      </c>
      <c r="E24" s="57" t="s">
        <v>594</v>
      </c>
      <c r="F24" s="21">
        <v>1.7</v>
      </c>
      <c r="G24" s="8">
        <v>2015</v>
      </c>
      <c r="I24" s="23">
        <f t="shared" si="1"/>
        <v>1.7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49" t="s">
        <v>719</v>
      </c>
      <c r="C25" s="11" t="s">
        <v>31</v>
      </c>
      <c r="D25" s="11" t="s">
        <v>22</v>
      </c>
      <c r="E25" s="20" t="s">
        <v>594</v>
      </c>
      <c r="F25" s="21">
        <v>1.7</v>
      </c>
      <c r="G25" s="9">
        <v>2015</v>
      </c>
      <c r="I25" s="23">
        <f aca="true" t="shared" si="2" ref="I25:M32">+IF($G25&gt;=I$3,$F25,0)</f>
        <v>1.7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42" t="s">
        <v>681</v>
      </c>
      <c r="C26" s="11" t="s">
        <v>37</v>
      </c>
      <c r="D26" s="11" t="s">
        <v>81</v>
      </c>
      <c r="E26" s="20" t="s">
        <v>594</v>
      </c>
      <c r="F26" s="21">
        <v>1.7</v>
      </c>
      <c r="G26" s="8">
        <v>2015</v>
      </c>
      <c r="I26" s="23">
        <f t="shared" si="2"/>
        <v>1.7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4" t="s">
        <v>564</v>
      </c>
      <c r="C27" s="56" t="s">
        <v>19</v>
      </c>
      <c r="D27" s="56" t="s">
        <v>46</v>
      </c>
      <c r="E27" s="56" t="s">
        <v>441</v>
      </c>
      <c r="F27" s="25">
        <v>1.7</v>
      </c>
      <c r="G27" s="11">
        <v>2015</v>
      </c>
      <c r="I27" s="23">
        <f t="shared" si="2"/>
        <v>1.7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42" t="s">
        <v>760</v>
      </c>
      <c r="C28" s="11" t="s">
        <v>17</v>
      </c>
      <c r="D28" s="11" t="s">
        <v>46</v>
      </c>
      <c r="E28" s="20" t="s">
        <v>594</v>
      </c>
      <c r="F28" s="21">
        <v>1.7</v>
      </c>
      <c r="G28" s="8">
        <v>2015</v>
      </c>
      <c r="I28" s="23">
        <f t="shared" si="2"/>
        <v>1.7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42" t="s">
        <v>624</v>
      </c>
      <c r="C29" s="11" t="s">
        <v>17</v>
      </c>
      <c r="D29" s="56" t="s">
        <v>48</v>
      </c>
      <c r="E29" s="20" t="s">
        <v>594</v>
      </c>
      <c r="F29" s="21">
        <v>1.7</v>
      </c>
      <c r="G29" s="8">
        <v>2015</v>
      </c>
      <c r="I29" s="23">
        <f t="shared" si="2"/>
        <v>1.7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10" t="s">
        <v>761</v>
      </c>
      <c r="C30" s="11" t="s">
        <v>17</v>
      </c>
      <c r="D30" s="11" t="s">
        <v>39</v>
      </c>
      <c r="E30" s="20" t="s">
        <v>594</v>
      </c>
      <c r="F30" s="25">
        <v>1.7</v>
      </c>
      <c r="G30" s="11">
        <v>2015</v>
      </c>
      <c r="I30" s="23">
        <f t="shared" si="2"/>
        <v>1.7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4" t="s">
        <v>762</v>
      </c>
      <c r="C31" s="11" t="s">
        <v>17</v>
      </c>
      <c r="D31" s="11" t="s">
        <v>226</v>
      </c>
      <c r="E31" s="20" t="s">
        <v>594</v>
      </c>
      <c r="F31" s="21">
        <v>1.7</v>
      </c>
      <c r="G31" s="8">
        <v>2015</v>
      </c>
      <c r="I31" s="23">
        <f t="shared" si="2"/>
        <v>1.7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10" t="s">
        <v>753</v>
      </c>
      <c r="C32" s="11" t="s">
        <v>17</v>
      </c>
      <c r="D32" s="11" t="s">
        <v>438</v>
      </c>
      <c r="E32" s="11" t="s">
        <v>594</v>
      </c>
      <c r="F32" s="25">
        <v>1.7</v>
      </c>
      <c r="G32" s="11">
        <v>2015</v>
      </c>
      <c r="I32" s="23">
        <f t="shared" si="2"/>
        <v>1.7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4:13" ht="12.75">
      <c r="D34" s="11"/>
      <c r="E34" s="20"/>
      <c r="F34" s="21"/>
      <c r="G34" s="8"/>
      <c r="I34" s="24">
        <f>+SUM(I5:I32)</f>
        <v>146.0499999999999</v>
      </c>
      <c r="J34" s="24">
        <f>+SUM(J5:J32)</f>
        <v>66.75</v>
      </c>
      <c r="K34" s="24">
        <f>+SUM(K5:K32)</f>
        <v>37.85</v>
      </c>
      <c r="L34" s="24">
        <f>+SUM(L5:L32)</f>
        <v>4.5</v>
      </c>
      <c r="M34" s="24">
        <f>+SUM(M5:M32)</f>
        <v>2.95</v>
      </c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2015</v>
      </c>
      <c r="J38" s="14">
        <f>+J$3</f>
        <v>2016</v>
      </c>
      <c r="K38" s="14">
        <f>+K$3</f>
        <v>2017</v>
      </c>
      <c r="L38" s="14">
        <f>+L$3</f>
        <v>2018</v>
      </c>
      <c r="M38" s="14">
        <f>+M$3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42" t="s">
        <v>488</v>
      </c>
      <c r="C40" s="11" t="s">
        <v>17</v>
      </c>
      <c r="D40" s="11"/>
      <c r="E40" s="11" t="s">
        <v>441</v>
      </c>
      <c r="F40" s="21">
        <v>13.5</v>
      </c>
      <c r="G40" s="9">
        <v>2019</v>
      </c>
      <c r="I40" s="23">
        <f aca="true" t="shared" si="3" ref="I40:I45">+CEILING(IF($I$38&lt;=G40,F40*0.3,0),0.05)</f>
        <v>4.05</v>
      </c>
      <c r="J40" s="23">
        <f aca="true" t="shared" si="4" ref="J40:J45">+CEILING(IF($J$38&lt;=G40,F40*0.3,0),0.05)</f>
        <v>4.05</v>
      </c>
      <c r="K40" s="23">
        <f aca="true" t="shared" si="5" ref="K40:K45">+CEILING(IF($K$38&lt;=G40,F40*0.3,0),0.05)</f>
        <v>4.05</v>
      </c>
      <c r="L40" s="23">
        <f aca="true" t="shared" si="6" ref="L40:L45">+CEILING(IF($L$38&lt;=G40,F40*0.3,0),0.05)</f>
        <v>4.05</v>
      </c>
      <c r="M40" s="23">
        <f aca="true" t="shared" si="7" ref="M40:M45">+CEILING(IF($M$38&lt;=G40,F40*0.3,0),0.05)</f>
        <v>4.05</v>
      </c>
    </row>
    <row r="41" spans="1:13" ht="12.75">
      <c r="A41" s="15">
        <v>2</v>
      </c>
      <c r="B41" s="42" t="s">
        <v>456</v>
      </c>
      <c r="C41" s="11" t="s">
        <v>15</v>
      </c>
      <c r="D41" s="11"/>
      <c r="E41" s="20" t="s">
        <v>441</v>
      </c>
      <c r="F41" s="21">
        <v>12.5</v>
      </c>
      <c r="G41" s="8">
        <v>2019</v>
      </c>
      <c r="I41" s="23">
        <f t="shared" si="3"/>
        <v>3.75</v>
      </c>
      <c r="J41" s="23">
        <f t="shared" si="4"/>
        <v>3.75</v>
      </c>
      <c r="K41" s="23">
        <f t="shared" si="5"/>
        <v>3.75</v>
      </c>
      <c r="L41" s="23">
        <f t="shared" si="6"/>
        <v>3.75</v>
      </c>
      <c r="M41" s="23">
        <f t="shared" si="7"/>
        <v>3.75</v>
      </c>
    </row>
    <row r="42" spans="1:13" ht="12.75">
      <c r="A42" s="15">
        <v>3</v>
      </c>
      <c r="B42" s="42" t="s">
        <v>487</v>
      </c>
      <c r="C42" s="11" t="s">
        <v>31</v>
      </c>
      <c r="D42" s="11"/>
      <c r="E42" s="20" t="s">
        <v>441</v>
      </c>
      <c r="F42" s="21">
        <v>11.95</v>
      </c>
      <c r="G42" s="8">
        <v>2019</v>
      </c>
      <c r="I42" s="23">
        <f t="shared" si="3"/>
        <v>3.6</v>
      </c>
      <c r="J42" s="23">
        <f t="shared" si="4"/>
        <v>3.6</v>
      </c>
      <c r="K42" s="23">
        <f t="shared" si="5"/>
        <v>3.6</v>
      </c>
      <c r="L42" s="23">
        <f t="shared" si="6"/>
        <v>3.6</v>
      </c>
      <c r="M42" s="23">
        <f t="shared" si="7"/>
        <v>3.6</v>
      </c>
    </row>
    <row r="43" spans="1:13" ht="12.75">
      <c r="A43" s="15">
        <v>4</v>
      </c>
      <c r="B43" s="42" t="s">
        <v>507</v>
      </c>
      <c r="C43" s="20" t="s">
        <v>17</v>
      </c>
      <c r="D43" s="20"/>
      <c r="E43" s="20" t="s">
        <v>441</v>
      </c>
      <c r="F43" s="21">
        <v>9.95</v>
      </c>
      <c r="G43" s="8">
        <v>2019</v>
      </c>
      <c r="I43" s="23">
        <f t="shared" si="3"/>
        <v>3</v>
      </c>
      <c r="J43" s="23">
        <f t="shared" si="4"/>
        <v>3</v>
      </c>
      <c r="K43" s="23">
        <f t="shared" si="5"/>
        <v>3</v>
      </c>
      <c r="L43" s="23">
        <f t="shared" si="6"/>
        <v>3</v>
      </c>
      <c r="M43" s="23">
        <f t="shared" si="7"/>
        <v>3</v>
      </c>
    </row>
    <row r="44" spans="1:13" ht="12.75">
      <c r="A44" s="15">
        <v>5</v>
      </c>
      <c r="B44" s="10" t="s">
        <v>349</v>
      </c>
      <c r="C44" s="11" t="s">
        <v>26</v>
      </c>
      <c r="D44" s="11" t="s">
        <v>24</v>
      </c>
      <c r="E44" s="11" t="s">
        <v>435</v>
      </c>
      <c r="F44" s="23">
        <v>7.3</v>
      </c>
      <c r="G44" s="20">
        <v>2018</v>
      </c>
      <c r="I44" s="23">
        <f t="shared" si="3"/>
        <v>2.2</v>
      </c>
      <c r="J44" s="23">
        <f t="shared" si="4"/>
        <v>2.2</v>
      </c>
      <c r="K44" s="23">
        <f t="shared" si="5"/>
        <v>2.2</v>
      </c>
      <c r="L44" s="23">
        <f t="shared" si="6"/>
        <v>2.2</v>
      </c>
      <c r="M44" s="23">
        <f t="shared" si="7"/>
        <v>0</v>
      </c>
    </row>
    <row r="45" spans="1:13" ht="12.75">
      <c r="A45" s="15">
        <v>6</v>
      </c>
      <c r="B45" s="42" t="s">
        <v>290</v>
      </c>
      <c r="C45" s="11" t="s">
        <v>26</v>
      </c>
      <c r="D45" s="11" t="s">
        <v>20</v>
      </c>
      <c r="E45" s="20" t="s">
        <v>432</v>
      </c>
      <c r="F45" s="21">
        <v>4.95</v>
      </c>
      <c r="G45" s="8">
        <v>2017</v>
      </c>
      <c r="I45" s="23">
        <f t="shared" si="3"/>
        <v>1.5</v>
      </c>
      <c r="J45" s="23">
        <f t="shared" si="4"/>
        <v>1.5</v>
      </c>
      <c r="K45" s="23">
        <f t="shared" si="5"/>
        <v>1.5</v>
      </c>
      <c r="L45" s="23">
        <f t="shared" si="6"/>
        <v>0</v>
      </c>
      <c r="M45" s="23">
        <f t="shared" si="7"/>
        <v>0</v>
      </c>
    </row>
    <row r="46" spans="1:13" ht="12.75">
      <c r="A46" s="15" t="s">
        <v>76</v>
      </c>
      <c r="B46" s="42" t="s">
        <v>200</v>
      </c>
      <c r="C46" s="31" t="s">
        <v>84</v>
      </c>
      <c r="D46" s="31" t="s">
        <v>84</v>
      </c>
      <c r="E46" s="31" t="s">
        <v>84</v>
      </c>
      <c r="F46" s="25">
        <f>9.1*2</f>
        <v>18.2</v>
      </c>
      <c r="G46" s="11">
        <v>2015</v>
      </c>
      <c r="I46" s="23">
        <f>+CEILING(IF($I$38&lt;=G46,F46*0.3,0),0.05)</f>
        <v>5.5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23.6</v>
      </c>
      <c r="J48" s="19">
        <f>+SUM(J40:J47)</f>
        <v>18.1</v>
      </c>
      <c r="K48" s="19">
        <f>+SUM(K40:K47)</f>
        <v>18.1</v>
      </c>
      <c r="L48" s="19">
        <f>+SUM(L40:L47)</f>
        <v>16.6</v>
      </c>
      <c r="M48" s="19">
        <f>+SUM(M40:M47)</f>
        <v>14.4</v>
      </c>
    </row>
    <row r="50" spans="1:13" ht="15.75">
      <c r="A50" s="140" t="s">
        <v>49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2015</v>
      </c>
      <c r="J52" s="14">
        <f>+J$3</f>
        <v>2016</v>
      </c>
      <c r="K52" s="14">
        <f>+K$3</f>
        <v>2017</v>
      </c>
      <c r="L52" s="14">
        <f>+L$3</f>
        <v>2018</v>
      </c>
      <c r="M52" s="14">
        <f>+M$3</f>
        <v>2019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42" t="s">
        <v>282</v>
      </c>
      <c r="C54" s="11" t="s">
        <v>17</v>
      </c>
      <c r="D54" s="11" t="s">
        <v>23</v>
      </c>
      <c r="E54" s="20">
        <v>2014</v>
      </c>
      <c r="F54" s="21">
        <v>13</v>
      </c>
      <c r="G54" s="8">
        <v>2017</v>
      </c>
      <c r="I54" s="23">
        <f aca="true" t="shared" si="8" ref="I54:I59">+CEILING(IF($I$52=E54,F54,IF($I$52&lt;=G54,F54*0.3,0)),0.05)</f>
        <v>3.9000000000000004</v>
      </c>
      <c r="J54" s="23">
        <f aca="true" t="shared" si="9" ref="J54:J59">+CEILING(IF($J$52&lt;=G54,F54*0.3,0),0.05)</f>
        <v>3.9000000000000004</v>
      </c>
      <c r="K54" s="23">
        <f aca="true" t="shared" si="10" ref="K54:K59">+CEILING(IF($K$52&lt;=G54,F54*0.3,0),0.05)</f>
        <v>3.9000000000000004</v>
      </c>
      <c r="L54" s="23">
        <f aca="true" t="shared" si="11" ref="L54:L59">+CEILING(IF($L$52&lt;=G54,F54*0.3,0),0.05)</f>
        <v>0</v>
      </c>
      <c r="M54" s="23">
        <f aca="true" t="shared" si="12" ref="M54:M59">CEILING(IF($M$52&lt;=G54,F54*0.3,0),0.05)</f>
        <v>0</v>
      </c>
    </row>
    <row r="55" spans="1:13" ht="12.75">
      <c r="A55" s="15">
        <v>2</v>
      </c>
      <c r="B55" s="42" t="s">
        <v>269</v>
      </c>
      <c r="C55" s="11" t="s">
        <v>37</v>
      </c>
      <c r="D55" s="11" t="s">
        <v>88</v>
      </c>
      <c r="E55" s="20">
        <v>2014</v>
      </c>
      <c r="F55" s="21">
        <v>4.25</v>
      </c>
      <c r="G55" s="8">
        <v>2016</v>
      </c>
      <c r="I55" s="23">
        <f t="shared" si="8"/>
        <v>1.3</v>
      </c>
      <c r="J55" s="23">
        <f t="shared" si="9"/>
        <v>1.3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55" t="s">
        <v>229</v>
      </c>
      <c r="C56" s="11" t="s">
        <v>19</v>
      </c>
      <c r="D56" s="11" t="s">
        <v>30</v>
      </c>
      <c r="E56" s="20">
        <v>2014</v>
      </c>
      <c r="F56" s="21">
        <v>4</v>
      </c>
      <c r="G56" s="8">
        <v>2016</v>
      </c>
      <c r="I56" s="23">
        <f t="shared" si="8"/>
        <v>1.2000000000000002</v>
      </c>
      <c r="J56" s="23">
        <f t="shared" si="9"/>
        <v>1.2000000000000002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42" t="s">
        <v>455</v>
      </c>
      <c r="C57" s="20" t="s">
        <v>37</v>
      </c>
      <c r="D57" s="20" t="s">
        <v>43</v>
      </c>
      <c r="E57" s="11">
        <v>2015</v>
      </c>
      <c r="F57" s="21">
        <v>15.55</v>
      </c>
      <c r="G57" s="8">
        <v>2015</v>
      </c>
      <c r="I57" s="23">
        <f t="shared" si="8"/>
        <v>15.55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42" t="s">
        <v>454</v>
      </c>
      <c r="C58" s="11" t="s">
        <v>37</v>
      </c>
      <c r="D58" s="11" t="s">
        <v>81</v>
      </c>
      <c r="E58" s="11">
        <v>2015</v>
      </c>
      <c r="F58" s="21">
        <v>10.6</v>
      </c>
      <c r="G58" s="8">
        <v>2015</v>
      </c>
      <c r="I58" s="23">
        <f t="shared" si="8"/>
        <v>10.600000000000001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54" t="s">
        <v>582</v>
      </c>
      <c r="C59" s="56" t="s">
        <v>37</v>
      </c>
      <c r="D59" s="56" t="s">
        <v>25</v>
      </c>
      <c r="E59" s="11">
        <v>2015</v>
      </c>
      <c r="F59" s="21">
        <v>7.2</v>
      </c>
      <c r="G59" s="8">
        <v>2015</v>
      </c>
      <c r="I59" s="23">
        <f t="shared" si="8"/>
        <v>7.2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42" t="s">
        <v>278</v>
      </c>
      <c r="C60" s="11" t="s">
        <v>37</v>
      </c>
      <c r="D60" s="11" t="s">
        <v>28</v>
      </c>
      <c r="E60" s="20">
        <v>2014</v>
      </c>
      <c r="F60" s="21">
        <v>5.75</v>
      </c>
      <c r="G60" s="8">
        <v>2015</v>
      </c>
      <c r="I60" s="23">
        <f aca="true" t="shared" si="13" ref="I60:I67">+CEILING(IF($I$52=E60,F60,IF($I$52&lt;=G60,F60*0.3,0)),0.05)</f>
        <v>1.75</v>
      </c>
      <c r="J60" s="23">
        <f aca="true" t="shared" si="14" ref="J60:J67">+CEILING(IF($J$52&lt;=G60,F60*0.3,0),0.05)</f>
        <v>0</v>
      </c>
      <c r="K60" s="23">
        <f aca="true" t="shared" si="15" ref="K60:K67">+CEILING(IF($K$52&lt;=G60,F60*0.3,0),0.05)</f>
        <v>0</v>
      </c>
      <c r="L60" s="23">
        <f aca="true" t="shared" si="16" ref="L60:L67">+CEILING(IF($L$52&lt;=G60,F60*0.3,0),0.05)</f>
        <v>0</v>
      </c>
      <c r="M60" s="23">
        <f aca="true" t="shared" si="17" ref="M60:M67">CEILING(IF($M$52&lt;=G60,F60*0.3,0),0.05)</f>
        <v>0</v>
      </c>
    </row>
    <row r="61" spans="1:13" ht="12.75">
      <c r="A61" s="15">
        <v>8</v>
      </c>
      <c r="B61" s="49" t="s">
        <v>513</v>
      </c>
      <c r="C61" s="11" t="s">
        <v>37</v>
      </c>
      <c r="D61" s="11" t="s">
        <v>48</v>
      </c>
      <c r="E61" s="20">
        <v>2015</v>
      </c>
      <c r="F61" s="21">
        <v>5.25</v>
      </c>
      <c r="G61" s="9">
        <v>2015</v>
      </c>
      <c r="I61" s="23">
        <f t="shared" si="13"/>
        <v>5.25</v>
      </c>
      <c r="J61" s="23">
        <f t="shared" si="14"/>
        <v>0</v>
      </c>
      <c r="K61" s="23">
        <f t="shared" si="15"/>
        <v>0</v>
      </c>
      <c r="L61" s="23">
        <f t="shared" si="16"/>
        <v>0</v>
      </c>
      <c r="M61" s="23">
        <f t="shared" si="17"/>
        <v>0</v>
      </c>
    </row>
    <row r="62" spans="1:13" ht="12.75">
      <c r="A62" s="15">
        <v>9</v>
      </c>
      <c r="B62" s="42" t="s">
        <v>268</v>
      </c>
      <c r="C62" s="11" t="s">
        <v>37</v>
      </c>
      <c r="D62" s="11" t="s">
        <v>42</v>
      </c>
      <c r="E62" s="11">
        <v>2015</v>
      </c>
      <c r="F62" s="21">
        <v>3.1</v>
      </c>
      <c r="G62" s="8">
        <v>2015</v>
      </c>
      <c r="I62" s="23">
        <f t="shared" si="13"/>
        <v>3.1</v>
      </c>
      <c r="J62" s="23">
        <f t="shared" si="14"/>
        <v>0</v>
      </c>
      <c r="K62" s="23">
        <f t="shared" si="15"/>
        <v>0</v>
      </c>
      <c r="L62" s="23">
        <f t="shared" si="16"/>
        <v>0</v>
      </c>
      <c r="M62" s="23">
        <f t="shared" si="17"/>
        <v>0</v>
      </c>
    </row>
    <row r="63" spans="1:13" ht="12.75">
      <c r="A63" s="15">
        <v>10</v>
      </c>
      <c r="B63" s="54" t="s">
        <v>661</v>
      </c>
      <c r="C63" s="11" t="s">
        <v>37</v>
      </c>
      <c r="D63" s="11" t="s">
        <v>32</v>
      </c>
      <c r="E63" s="20">
        <v>2015</v>
      </c>
      <c r="F63" s="21">
        <v>1.7</v>
      </c>
      <c r="G63" s="8">
        <v>2015</v>
      </c>
      <c r="I63" s="23">
        <f t="shared" si="13"/>
        <v>1.7000000000000002</v>
      </c>
      <c r="J63" s="23">
        <f t="shared" si="14"/>
        <v>0</v>
      </c>
      <c r="K63" s="23">
        <f t="shared" si="15"/>
        <v>0</v>
      </c>
      <c r="L63" s="23">
        <f t="shared" si="16"/>
        <v>0</v>
      </c>
      <c r="M63" s="23">
        <f t="shared" si="17"/>
        <v>0</v>
      </c>
    </row>
    <row r="64" spans="1:13" ht="12.75">
      <c r="A64" s="15">
        <v>11</v>
      </c>
      <c r="B64" s="10" t="s">
        <v>679</v>
      </c>
      <c r="C64" s="11" t="s">
        <v>17</v>
      </c>
      <c r="D64" s="11" t="s">
        <v>44</v>
      </c>
      <c r="E64" s="11">
        <v>2015</v>
      </c>
      <c r="F64" s="25">
        <v>1.7</v>
      </c>
      <c r="G64" s="11">
        <v>2015</v>
      </c>
      <c r="I64" s="23">
        <f t="shared" si="13"/>
        <v>1.7000000000000002</v>
      </c>
      <c r="J64" s="23">
        <f t="shared" si="14"/>
        <v>0</v>
      </c>
      <c r="K64" s="23">
        <f t="shared" si="15"/>
        <v>0</v>
      </c>
      <c r="L64" s="23">
        <f t="shared" si="16"/>
        <v>0</v>
      </c>
      <c r="M64" s="23">
        <f t="shared" si="17"/>
        <v>0</v>
      </c>
    </row>
    <row r="65" spans="1:13" ht="12.75">
      <c r="A65" s="15">
        <v>12</v>
      </c>
      <c r="B65" s="10" t="s">
        <v>97</v>
      </c>
      <c r="C65" s="11" t="s">
        <v>17</v>
      </c>
      <c r="D65" s="11" t="s">
        <v>43</v>
      </c>
      <c r="E65" s="11">
        <v>2015</v>
      </c>
      <c r="F65" s="25">
        <v>1.7</v>
      </c>
      <c r="G65" s="11">
        <v>2015</v>
      </c>
      <c r="I65" s="23">
        <f t="shared" si="13"/>
        <v>1.7000000000000002</v>
      </c>
      <c r="J65" s="23">
        <f t="shared" si="14"/>
        <v>0</v>
      </c>
      <c r="K65" s="23">
        <f t="shared" si="15"/>
        <v>0</v>
      </c>
      <c r="L65" s="23">
        <f t="shared" si="16"/>
        <v>0</v>
      </c>
      <c r="M65" s="23">
        <f t="shared" si="17"/>
        <v>0</v>
      </c>
    </row>
    <row r="66" spans="1:13" ht="12.75">
      <c r="A66" s="15">
        <v>13</v>
      </c>
      <c r="B66" s="42" t="s">
        <v>600</v>
      </c>
      <c r="C66" s="11" t="s">
        <v>37</v>
      </c>
      <c r="D66" s="11" t="s">
        <v>20</v>
      </c>
      <c r="E66" s="11">
        <v>2015</v>
      </c>
      <c r="F66" s="21">
        <v>1.7</v>
      </c>
      <c r="G66" s="8">
        <v>2015</v>
      </c>
      <c r="I66" s="23">
        <f t="shared" si="13"/>
        <v>1.7000000000000002</v>
      </c>
      <c r="J66" s="23">
        <f t="shared" si="14"/>
        <v>0</v>
      </c>
      <c r="K66" s="23">
        <f t="shared" si="15"/>
        <v>0</v>
      </c>
      <c r="L66" s="23">
        <f t="shared" si="16"/>
        <v>0</v>
      </c>
      <c r="M66" s="23">
        <f t="shared" si="17"/>
        <v>0</v>
      </c>
    </row>
    <row r="67" spans="1:13" ht="12.75">
      <c r="A67" s="15">
        <v>14</v>
      </c>
      <c r="B67" s="54" t="s">
        <v>663</v>
      </c>
      <c r="C67" s="11" t="s">
        <v>17</v>
      </c>
      <c r="D67" s="11" t="s">
        <v>48</v>
      </c>
      <c r="E67" s="11">
        <v>2015</v>
      </c>
      <c r="F67" s="21">
        <v>1.7</v>
      </c>
      <c r="G67" s="8">
        <v>2015</v>
      </c>
      <c r="I67" s="23">
        <f t="shared" si="13"/>
        <v>1.7000000000000002</v>
      </c>
      <c r="J67" s="23">
        <f t="shared" si="14"/>
        <v>0</v>
      </c>
      <c r="K67" s="23">
        <f t="shared" si="15"/>
        <v>0</v>
      </c>
      <c r="L67" s="23">
        <f t="shared" si="16"/>
        <v>0</v>
      </c>
      <c r="M67" s="23">
        <f t="shared" si="17"/>
        <v>0</v>
      </c>
    </row>
    <row r="68" spans="1:13" ht="12.75">
      <c r="A68" s="15">
        <v>15</v>
      </c>
      <c r="B68" s="42" t="s">
        <v>609</v>
      </c>
      <c r="C68" s="11" t="s">
        <v>19</v>
      </c>
      <c r="D68" s="56" t="s">
        <v>81</v>
      </c>
      <c r="E68" s="11">
        <v>2015</v>
      </c>
      <c r="F68" s="21">
        <v>1.7</v>
      </c>
      <c r="G68" s="8">
        <v>2015</v>
      </c>
      <c r="I68" s="23">
        <f>+CEILING(IF($I$52=E68,F68,IF($I$52&lt;=G68,F68*0.3,0)),0.05)</f>
        <v>1.7000000000000002</v>
      </c>
      <c r="J68" s="23">
        <f>+CEILING(IF($J$52&lt;=G68,F68*0.3,0),0.05)</f>
        <v>0</v>
      </c>
      <c r="K68" s="23">
        <f>+CEILING(IF($K$52&lt;=G68,F68*0.3,0),0.05)</f>
        <v>0</v>
      </c>
      <c r="L68" s="23">
        <f>+CEILING(IF($L$52&lt;=G68,F68*0.3,0),0.05)</f>
        <v>0</v>
      </c>
      <c r="M68" s="23">
        <f>CEILING(IF($M$52&lt;=G68,F68*0.3,0),0.05)</f>
        <v>0</v>
      </c>
    </row>
    <row r="69" spans="5:13" ht="7.5" customHeight="1">
      <c r="E69" s="11"/>
      <c r="I69" s="22"/>
      <c r="J69" s="22"/>
      <c r="K69" s="22"/>
      <c r="L69" s="22"/>
      <c r="M69" s="22"/>
    </row>
    <row r="70" spans="9:13" ht="12.75">
      <c r="I70" s="24">
        <f>+SUM(I54:I69)</f>
        <v>60.050000000000026</v>
      </c>
      <c r="J70" s="24">
        <f>+SUM(J54:J69)</f>
        <v>6.4</v>
      </c>
      <c r="K70" s="24">
        <f>+SUM(K54:K69)</f>
        <v>3.9000000000000004</v>
      </c>
      <c r="L70" s="24">
        <f>+SUM(L54:L69)</f>
        <v>0</v>
      </c>
      <c r="M70" s="24">
        <f>+SUM(M54:M69)</f>
        <v>0</v>
      </c>
    </row>
    <row r="71" ht="12.75">
      <c r="B71" s="43"/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36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42" t="s">
        <v>464</v>
      </c>
      <c r="C5" s="11" t="s">
        <v>17</v>
      </c>
      <c r="D5" s="11" t="s">
        <v>44</v>
      </c>
      <c r="E5" s="20" t="s">
        <v>441</v>
      </c>
      <c r="F5" s="21">
        <v>9</v>
      </c>
      <c r="G5" s="8">
        <v>2019</v>
      </c>
      <c r="I5" s="23">
        <f aca="true" t="shared" si="0" ref="I5:M14">+IF($G5&gt;=I$3,$F5,0)</f>
        <v>9</v>
      </c>
      <c r="J5" s="23">
        <f t="shared" si="0"/>
        <v>9</v>
      </c>
      <c r="K5" s="23">
        <f t="shared" si="0"/>
        <v>9</v>
      </c>
      <c r="L5" s="23">
        <f t="shared" si="0"/>
        <v>9</v>
      </c>
      <c r="M5" s="23">
        <f t="shared" si="0"/>
        <v>9</v>
      </c>
    </row>
    <row r="6" spans="1:13" ht="12.75">
      <c r="A6" s="15">
        <v>2</v>
      </c>
      <c r="B6" s="10" t="s">
        <v>496</v>
      </c>
      <c r="C6" s="11" t="s">
        <v>17</v>
      </c>
      <c r="D6" s="11" t="s">
        <v>42</v>
      </c>
      <c r="E6" s="20" t="s">
        <v>441</v>
      </c>
      <c r="F6" s="21">
        <v>7.8</v>
      </c>
      <c r="G6" s="8">
        <v>2019</v>
      </c>
      <c r="I6" s="23">
        <f t="shared" si="0"/>
        <v>7.8</v>
      </c>
      <c r="J6" s="23">
        <f t="shared" si="0"/>
        <v>7.8</v>
      </c>
      <c r="K6" s="23">
        <f t="shared" si="0"/>
        <v>7.8</v>
      </c>
      <c r="L6" s="23">
        <f t="shared" si="0"/>
        <v>7.8</v>
      </c>
      <c r="M6" s="23">
        <f t="shared" si="0"/>
        <v>7.8</v>
      </c>
    </row>
    <row r="7" spans="1:13" ht="12.75">
      <c r="A7" s="15">
        <v>3</v>
      </c>
      <c r="B7" s="49" t="s">
        <v>525</v>
      </c>
      <c r="C7" s="11" t="s">
        <v>17</v>
      </c>
      <c r="D7" s="56" t="s">
        <v>34</v>
      </c>
      <c r="E7" s="20" t="s">
        <v>441</v>
      </c>
      <c r="F7" s="23">
        <v>5.95</v>
      </c>
      <c r="G7" s="20">
        <v>2019</v>
      </c>
      <c r="I7" s="23">
        <f t="shared" si="0"/>
        <v>5.95</v>
      </c>
      <c r="J7" s="23">
        <f t="shared" si="0"/>
        <v>5.95</v>
      </c>
      <c r="K7" s="23">
        <f t="shared" si="0"/>
        <v>5.95</v>
      </c>
      <c r="L7" s="23">
        <f t="shared" si="0"/>
        <v>5.95</v>
      </c>
      <c r="M7" s="23">
        <f t="shared" si="0"/>
        <v>5.95</v>
      </c>
    </row>
    <row r="8" spans="1:13" ht="12.75">
      <c r="A8" s="15">
        <v>4</v>
      </c>
      <c r="B8" s="54" t="s">
        <v>572</v>
      </c>
      <c r="C8" s="56" t="s">
        <v>37</v>
      </c>
      <c r="D8" s="56" t="s">
        <v>43</v>
      </c>
      <c r="E8" s="57" t="s">
        <v>441</v>
      </c>
      <c r="F8" s="21">
        <v>4.5</v>
      </c>
      <c r="G8" s="8">
        <v>2019</v>
      </c>
      <c r="I8" s="23">
        <f t="shared" si="0"/>
        <v>4.5</v>
      </c>
      <c r="J8" s="23">
        <f t="shared" si="0"/>
        <v>4.5</v>
      </c>
      <c r="K8" s="23">
        <f t="shared" si="0"/>
        <v>4.5</v>
      </c>
      <c r="L8" s="23">
        <f t="shared" si="0"/>
        <v>4.5</v>
      </c>
      <c r="M8" s="23">
        <f t="shared" si="0"/>
        <v>4.5</v>
      </c>
    </row>
    <row r="9" spans="1:13" ht="12.75">
      <c r="A9" s="15">
        <v>5</v>
      </c>
      <c r="B9" s="42" t="s">
        <v>390</v>
      </c>
      <c r="C9" s="11" t="s">
        <v>17</v>
      </c>
      <c r="D9" s="11" t="s">
        <v>35</v>
      </c>
      <c r="E9" s="20" t="s">
        <v>435</v>
      </c>
      <c r="F9" s="21">
        <v>4.15</v>
      </c>
      <c r="G9" s="8">
        <v>2018</v>
      </c>
      <c r="I9" s="23">
        <f t="shared" si="0"/>
        <v>4.15</v>
      </c>
      <c r="J9" s="23">
        <f t="shared" si="0"/>
        <v>4.15</v>
      </c>
      <c r="K9" s="23">
        <f t="shared" si="0"/>
        <v>4.15</v>
      </c>
      <c r="L9" s="23">
        <f t="shared" si="0"/>
        <v>4.15</v>
      </c>
      <c r="M9" s="23">
        <f t="shared" si="0"/>
        <v>0</v>
      </c>
    </row>
    <row r="10" spans="1:13" ht="12.75">
      <c r="A10" s="15">
        <v>6</v>
      </c>
      <c r="B10" s="42" t="s">
        <v>253</v>
      </c>
      <c r="C10" s="11" t="s">
        <v>19</v>
      </c>
      <c r="D10" s="11" t="s">
        <v>48</v>
      </c>
      <c r="E10" s="20" t="s">
        <v>47</v>
      </c>
      <c r="F10" s="21">
        <v>13.35</v>
      </c>
      <c r="G10" s="8">
        <v>2017</v>
      </c>
      <c r="I10" s="23">
        <f t="shared" si="0"/>
        <v>13.35</v>
      </c>
      <c r="J10" s="23">
        <f t="shared" si="0"/>
        <v>13.35</v>
      </c>
      <c r="K10" s="23">
        <f t="shared" si="0"/>
        <v>13.35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10" t="s">
        <v>240</v>
      </c>
      <c r="C11" s="11" t="s">
        <v>26</v>
      </c>
      <c r="D11" s="56" t="s">
        <v>27</v>
      </c>
      <c r="E11" s="11" t="s">
        <v>47</v>
      </c>
      <c r="F11" s="25">
        <v>11.15</v>
      </c>
      <c r="G11" s="11">
        <v>2017</v>
      </c>
      <c r="I11" s="23">
        <f t="shared" si="0"/>
        <v>11.15</v>
      </c>
      <c r="J11" s="23">
        <f t="shared" si="0"/>
        <v>11.15</v>
      </c>
      <c r="K11" s="23">
        <f t="shared" si="0"/>
        <v>11.15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22" t="s">
        <v>273</v>
      </c>
      <c r="C12" s="11" t="s">
        <v>17</v>
      </c>
      <c r="D12" s="11" t="s">
        <v>226</v>
      </c>
      <c r="E12" s="20" t="s">
        <v>47</v>
      </c>
      <c r="F12" s="21">
        <v>9</v>
      </c>
      <c r="G12" s="8">
        <v>2017</v>
      </c>
      <c r="I12" s="23">
        <f t="shared" si="0"/>
        <v>9</v>
      </c>
      <c r="J12" s="23">
        <f t="shared" si="0"/>
        <v>9</v>
      </c>
      <c r="K12" s="23">
        <f t="shared" si="0"/>
        <v>9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49" t="s">
        <v>254</v>
      </c>
      <c r="C13" s="11" t="s">
        <v>19</v>
      </c>
      <c r="D13" s="11" t="s">
        <v>226</v>
      </c>
      <c r="E13" s="20" t="s">
        <v>432</v>
      </c>
      <c r="F13" s="21">
        <v>8.15</v>
      </c>
      <c r="G13" s="8">
        <v>2017</v>
      </c>
      <c r="I13" s="23">
        <f t="shared" si="0"/>
        <v>8.15</v>
      </c>
      <c r="J13" s="23">
        <f t="shared" si="0"/>
        <v>8.15</v>
      </c>
      <c r="K13" s="23">
        <f t="shared" si="0"/>
        <v>8.15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42" t="s">
        <v>247</v>
      </c>
      <c r="C14" s="11" t="s">
        <v>40</v>
      </c>
      <c r="D14" s="11" t="s">
        <v>25</v>
      </c>
      <c r="E14" s="20" t="s">
        <v>47</v>
      </c>
      <c r="F14" s="21">
        <v>6.25</v>
      </c>
      <c r="G14" s="8">
        <v>2017</v>
      </c>
      <c r="I14" s="23">
        <f t="shared" si="0"/>
        <v>6.25</v>
      </c>
      <c r="J14" s="23">
        <f t="shared" si="0"/>
        <v>6.25</v>
      </c>
      <c r="K14" s="23">
        <f t="shared" si="0"/>
        <v>6.25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22" t="s">
        <v>284</v>
      </c>
      <c r="C15" s="11" t="s">
        <v>15</v>
      </c>
      <c r="D15" s="11" t="s">
        <v>48</v>
      </c>
      <c r="E15" s="20" t="s">
        <v>47</v>
      </c>
      <c r="F15" s="21">
        <v>6.15</v>
      </c>
      <c r="G15" s="8">
        <v>2017</v>
      </c>
      <c r="I15" s="23">
        <f aca="true" t="shared" si="1" ref="I15:M24">+IF($G15&gt;=I$3,$F15,0)</f>
        <v>6.15</v>
      </c>
      <c r="J15" s="23">
        <f t="shared" si="1"/>
        <v>6.15</v>
      </c>
      <c r="K15" s="23">
        <f t="shared" si="1"/>
        <v>6.15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42" t="s">
        <v>315</v>
      </c>
      <c r="C16" s="11" t="s">
        <v>31</v>
      </c>
      <c r="D16" s="11" t="s">
        <v>28</v>
      </c>
      <c r="E16" s="11" t="s">
        <v>432</v>
      </c>
      <c r="F16" s="21">
        <v>5.5</v>
      </c>
      <c r="G16" s="8">
        <v>2017</v>
      </c>
      <c r="I16" s="23">
        <f t="shared" si="1"/>
        <v>5.5</v>
      </c>
      <c r="J16" s="23">
        <f t="shared" si="1"/>
        <v>5.5</v>
      </c>
      <c r="K16" s="23">
        <f t="shared" si="1"/>
        <v>5.5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42" t="s">
        <v>274</v>
      </c>
      <c r="C17" s="11" t="s">
        <v>15</v>
      </c>
      <c r="D17" s="11" t="s">
        <v>28</v>
      </c>
      <c r="E17" s="20" t="s">
        <v>47</v>
      </c>
      <c r="F17" s="21">
        <v>5.2</v>
      </c>
      <c r="G17" s="9">
        <v>2017</v>
      </c>
      <c r="I17" s="23">
        <f t="shared" si="1"/>
        <v>5.2</v>
      </c>
      <c r="J17" s="23">
        <f t="shared" si="1"/>
        <v>5.2</v>
      </c>
      <c r="K17" s="23">
        <f t="shared" si="1"/>
        <v>5.2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10" t="s">
        <v>301</v>
      </c>
      <c r="C18" s="11" t="s">
        <v>19</v>
      </c>
      <c r="D18" s="56" t="s">
        <v>438</v>
      </c>
      <c r="E18" s="11" t="s">
        <v>47</v>
      </c>
      <c r="F18" s="25">
        <v>4</v>
      </c>
      <c r="G18" s="11">
        <v>2017</v>
      </c>
      <c r="I18" s="23">
        <f t="shared" si="1"/>
        <v>4</v>
      </c>
      <c r="J18" s="23">
        <f t="shared" si="1"/>
        <v>4</v>
      </c>
      <c r="K18" s="23">
        <f t="shared" si="1"/>
        <v>4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22" t="s">
        <v>303</v>
      </c>
      <c r="C19" s="11" t="s">
        <v>37</v>
      </c>
      <c r="D19" s="11" t="s">
        <v>48</v>
      </c>
      <c r="E19" s="20" t="s">
        <v>432</v>
      </c>
      <c r="F19" s="23">
        <v>3.45</v>
      </c>
      <c r="G19" s="20">
        <v>2017</v>
      </c>
      <c r="I19" s="23">
        <f t="shared" si="1"/>
        <v>3.45</v>
      </c>
      <c r="J19" s="23">
        <f t="shared" si="1"/>
        <v>3.45</v>
      </c>
      <c r="K19" s="23">
        <f t="shared" si="1"/>
        <v>3.45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42" t="s">
        <v>338</v>
      </c>
      <c r="C20" s="11" t="s">
        <v>26</v>
      </c>
      <c r="D20" s="11" t="s">
        <v>81</v>
      </c>
      <c r="E20" s="20" t="s">
        <v>47</v>
      </c>
      <c r="F20" s="21">
        <v>2.7</v>
      </c>
      <c r="G20" s="8">
        <v>2017</v>
      </c>
      <c r="I20" s="23">
        <f t="shared" si="1"/>
        <v>2.7</v>
      </c>
      <c r="J20" s="23">
        <f t="shared" si="1"/>
        <v>2.7</v>
      </c>
      <c r="K20" s="23">
        <f t="shared" si="1"/>
        <v>2.7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4" t="s">
        <v>294</v>
      </c>
      <c r="C21" s="11" t="s">
        <v>18</v>
      </c>
      <c r="D21" s="56" t="s">
        <v>43</v>
      </c>
      <c r="E21" s="20" t="s">
        <v>47</v>
      </c>
      <c r="F21" s="21">
        <v>1.65</v>
      </c>
      <c r="G21" s="8">
        <v>2017</v>
      </c>
      <c r="I21" s="23">
        <f t="shared" si="1"/>
        <v>1.65</v>
      </c>
      <c r="J21" s="23">
        <f t="shared" si="1"/>
        <v>1.65</v>
      </c>
      <c r="K21" s="23">
        <f t="shared" si="1"/>
        <v>1.65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10" t="s">
        <v>166</v>
      </c>
      <c r="C22" s="11" t="s">
        <v>18</v>
      </c>
      <c r="D22" s="56" t="s">
        <v>85</v>
      </c>
      <c r="E22" s="11" t="s">
        <v>47</v>
      </c>
      <c r="F22" s="25">
        <v>15.15</v>
      </c>
      <c r="G22" s="11">
        <v>2016</v>
      </c>
      <c r="I22" s="23">
        <f t="shared" si="1"/>
        <v>15.15</v>
      </c>
      <c r="J22" s="23">
        <f t="shared" si="1"/>
        <v>15.15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42" t="s">
        <v>353</v>
      </c>
      <c r="C23" s="11" t="s">
        <v>37</v>
      </c>
      <c r="D23" s="11" t="s">
        <v>23</v>
      </c>
      <c r="E23" s="20" t="s">
        <v>47</v>
      </c>
      <c r="F23" s="21">
        <v>14.2</v>
      </c>
      <c r="G23" s="8">
        <v>2016</v>
      </c>
      <c r="I23" s="23">
        <f t="shared" si="1"/>
        <v>14.2</v>
      </c>
      <c r="J23" s="23">
        <f t="shared" si="1"/>
        <v>14.2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42" t="s">
        <v>167</v>
      </c>
      <c r="C24" s="11" t="s">
        <v>31</v>
      </c>
      <c r="D24" s="56" t="s">
        <v>20</v>
      </c>
      <c r="E24" s="20" t="s">
        <v>47</v>
      </c>
      <c r="F24" s="21">
        <v>11.6</v>
      </c>
      <c r="G24" s="8">
        <v>2016</v>
      </c>
      <c r="I24" s="23">
        <f t="shared" si="1"/>
        <v>11.6</v>
      </c>
      <c r="J24" s="23">
        <f t="shared" si="1"/>
        <v>11.6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49" t="s">
        <v>694</v>
      </c>
      <c r="C25" s="11" t="s">
        <v>19</v>
      </c>
      <c r="D25" s="11" t="s">
        <v>25</v>
      </c>
      <c r="E25" s="20" t="s">
        <v>594</v>
      </c>
      <c r="F25" s="23">
        <v>1.7</v>
      </c>
      <c r="G25" s="20">
        <v>2015</v>
      </c>
      <c r="I25" s="23">
        <f aca="true" t="shared" si="2" ref="I25:M32">+IF($G25&gt;=I$3,$F25,0)</f>
        <v>1.7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22" t="s">
        <v>691</v>
      </c>
      <c r="C26" s="11" t="s">
        <v>17</v>
      </c>
      <c r="D26" s="11" t="s">
        <v>25</v>
      </c>
      <c r="E26" s="20" t="s">
        <v>594</v>
      </c>
      <c r="F26" s="23">
        <v>1.7</v>
      </c>
      <c r="G26" s="20">
        <v>2015</v>
      </c>
      <c r="I26" s="23">
        <f t="shared" si="2"/>
        <v>1.7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5" t="s">
        <v>404</v>
      </c>
      <c r="C27" s="11" t="s">
        <v>19</v>
      </c>
      <c r="D27" s="11" t="s">
        <v>44</v>
      </c>
      <c r="E27" s="20" t="s">
        <v>47</v>
      </c>
      <c r="F27" s="21">
        <v>5.25</v>
      </c>
      <c r="G27" s="8">
        <v>2015</v>
      </c>
      <c r="I27" s="23">
        <f t="shared" si="2"/>
        <v>5.25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4" t="s">
        <v>602</v>
      </c>
      <c r="C28" s="11" t="s">
        <v>40</v>
      </c>
      <c r="D28" s="11" t="s">
        <v>35</v>
      </c>
      <c r="E28" s="20" t="s">
        <v>594</v>
      </c>
      <c r="F28" s="21">
        <v>1.7</v>
      </c>
      <c r="G28" s="8">
        <v>2015</v>
      </c>
      <c r="I28" s="23">
        <f t="shared" si="2"/>
        <v>1.7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49" t="s">
        <v>610</v>
      </c>
      <c r="C29" s="11" t="s">
        <v>17</v>
      </c>
      <c r="D29" s="11" t="s">
        <v>25</v>
      </c>
      <c r="E29" s="20" t="s">
        <v>594</v>
      </c>
      <c r="F29" s="21">
        <v>1.7</v>
      </c>
      <c r="G29" s="8">
        <v>2015</v>
      </c>
      <c r="I29" s="23">
        <f t="shared" si="2"/>
        <v>1.7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54" t="s">
        <v>613</v>
      </c>
      <c r="C30" s="56" t="s">
        <v>37</v>
      </c>
      <c r="D30" s="56" t="s">
        <v>25</v>
      </c>
      <c r="E30" s="57" t="s">
        <v>594</v>
      </c>
      <c r="F30" s="21">
        <v>1.7</v>
      </c>
      <c r="G30" s="8">
        <v>2015</v>
      </c>
      <c r="I30" s="23">
        <f t="shared" si="2"/>
        <v>1.7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42" t="s">
        <v>632</v>
      </c>
      <c r="C31" s="11" t="s">
        <v>37</v>
      </c>
      <c r="D31" s="11" t="s">
        <v>24</v>
      </c>
      <c r="E31" s="20" t="s">
        <v>594</v>
      </c>
      <c r="F31" s="21">
        <v>1.7</v>
      </c>
      <c r="G31" s="8">
        <v>2015</v>
      </c>
      <c r="I31" s="23">
        <f t="shared" si="2"/>
        <v>1.7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10" t="s">
        <v>296</v>
      </c>
      <c r="C32" s="11" t="s">
        <v>37</v>
      </c>
      <c r="D32" s="11" t="s">
        <v>32</v>
      </c>
      <c r="E32" s="20" t="s">
        <v>594</v>
      </c>
      <c r="F32" s="21">
        <v>1.7</v>
      </c>
      <c r="G32" s="17">
        <v>2015</v>
      </c>
      <c r="I32" s="23">
        <f t="shared" si="2"/>
        <v>1.7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4:13" ht="12.75">
      <c r="D34" s="11"/>
      <c r="E34" s="11"/>
      <c r="F34" s="38"/>
      <c r="G34" s="11"/>
      <c r="I34" s="24">
        <f>+SUM(I5:I32)</f>
        <v>166.04999999999995</v>
      </c>
      <c r="J34" s="24">
        <f>+SUM(J5:J32)</f>
        <v>148.90000000000003</v>
      </c>
      <c r="K34" s="24">
        <f>+SUM(K5:K32)</f>
        <v>107.95000000000003</v>
      </c>
      <c r="L34" s="24">
        <f>+SUM(L5:L32)</f>
        <v>31.4</v>
      </c>
      <c r="M34" s="24">
        <f>+SUM(M5:M32)</f>
        <v>27.25</v>
      </c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2015</v>
      </c>
      <c r="J38" s="14">
        <f>+J$3</f>
        <v>2016</v>
      </c>
      <c r="K38" s="14">
        <f>+K$3</f>
        <v>2017</v>
      </c>
      <c r="L38" s="14">
        <f>+L$3</f>
        <v>2018</v>
      </c>
      <c r="M38" s="14">
        <f>+M$3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54" t="s">
        <v>354</v>
      </c>
      <c r="C40" s="11" t="s">
        <v>17</v>
      </c>
      <c r="D40" s="11" t="s">
        <v>20</v>
      </c>
      <c r="E40" s="20" t="s">
        <v>437</v>
      </c>
      <c r="F40" s="21">
        <v>13.9</v>
      </c>
      <c r="G40" s="8">
        <v>2018</v>
      </c>
      <c r="I40" s="23">
        <f aca="true" t="shared" si="3" ref="I40:I46">+CEILING(IF($I$38&lt;=G40,F40*0.3,0),0.05)</f>
        <v>4.2</v>
      </c>
      <c r="J40" s="23">
        <f aca="true" t="shared" si="4" ref="J40:J46">+CEILING(IF($J$38&lt;=G40,F40*0.3,0),0.05)</f>
        <v>4.2</v>
      </c>
      <c r="K40" s="23">
        <f aca="true" t="shared" si="5" ref="K40:K46">+CEILING(IF($K$38&lt;=G40,F40*0.3,0),0.05)</f>
        <v>4.2</v>
      </c>
      <c r="L40" s="23">
        <f aca="true" t="shared" si="6" ref="L40:L46">+CEILING(IF($L$38&lt;=G40,F40*0.3,0),0.05)</f>
        <v>4.2</v>
      </c>
      <c r="M40" s="23">
        <f aca="true" t="shared" si="7" ref="M40:M46">+CEILING(IF($M$38&lt;=G40,F40*0.3,0),0.05)</f>
        <v>0</v>
      </c>
    </row>
    <row r="41" spans="1:13" ht="12.75">
      <c r="A41" s="15">
        <v>2</v>
      </c>
      <c r="B41" s="42" t="s">
        <v>356</v>
      </c>
      <c r="C41" s="11" t="s">
        <v>19</v>
      </c>
      <c r="D41" s="11" t="s">
        <v>46</v>
      </c>
      <c r="E41" s="20" t="s">
        <v>435</v>
      </c>
      <c r="F41" s="21">
        <v>11</v>
      </c>
      <c r="G41" s="8">
        <v>2018</v>
      </c>
      <c r="I41" s="23">
        <f t="shared" si="3"/>
        <v>3.3000000000000003</v>
      </c>
      <c r="J41" s="23">
        <f t="shared" si="4"/>
        <v>3.3000000000000003</v>
      </c>
      <c r="K41" s="23">
        <f t="shared" si="5"/>
        <v>3.3000000000000003</v>
      </c>
      <c r="L41" s="23">
        <f t="shared" si="6"/>
        <v>3.3000000000000003</v>
      </c>
      <c r="M41" s="23">
        <f t="shared" si="7"/>
        <v>0</v>
      </c>
    </row>
    <row r="42" spans="1:13" ht="12.75">
      <c r="A42" s="15">
        <v>3</v>
      </c>
      <c r="B42" s="42" t="s">
        <v>357</v>
      </c>
      <c r="C42" s="11" t="s">
        <v>17</v>
      </c>
      <c r="D42" s="11" t="s">
        <v>25</v>
      </c>
      <c r="E42" s="20" t="s">
        <v>435</v>
      </c>
      <c r="F42" s="21">
        <v>8.15</v>
      </c>
      <c r="G42" s="8">
        <v>2018</v>
      </c>
      <c r="I42" s="23">
        <f t="shared" si="3"/>
        <v>2.45</v>
      </c>
      <c r="J42" s="23">
        <f t="shared" si="4"/>
        <v>2.45</v>
      </c>
      <c r="K42" s="23">
        <f t="shared" si="5"/>
        <v>2.45</v>
      </c>
      <c r="L42" s="23">
        <f t="shared" si="6"/>
        <v>2.45</v>
      </c>
      <c r="M42" s="23">
        <f t="shared" si="7"/>
        <v>0</v>
      </c>
    </row>
    <row r="43" spans="1:13" ht="12.75">
      <c r="A43" s="15">
        <v>4</v>
      </c>
      <c r="B43" s="49" t="s">
        <v>355</v>
      </c>
      <c r="C43" s="11" t="s">
        <v>37</v>
      </c>
      <c r="D43" s="11" t="s">
        <v>39</v>
      </c>
      <c r="E43" s="20" t="s">
        <v>47</v>
      </c>
      <c r="F43" s="21">
        <v>5.8</v>
      </c>
      <c r="G43" s="8">
        <v>2016</v>
      </c>
      <c r="I43" s="23">
        <f t="shared" si="3"/>
        <v>1.75</v>
      </c>
      <c r="J43" s="23">
        <f t="shared" si="4"/>
        <v>1.75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42"/>
      <c r="D44" s="11"/>
      <c r="E44" s="11"/>
      <c r="F44" s="21"/>
      <c r="G44" s="8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22"/>
      <c r="D45" s="11"/>
      <c r="E45" s="20"/>
      <c r="F45" s="23"/>
      <c r="G45" s="20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76</v>
      </c>
      <c r="B46" s="54"/>
      <c r="C46" s="31"/>
      <c r="D46" s="31"/>
      <c r="E46" s="58"/>
      <c r="F46" s="25"/>
      <c r="G46" s="11"/>
      <c r="I46" s="23">
        <f t="shared" si="3"/>
        <v>0</v>
      </c>
      <c r="J46" s="23">
        <f t="shared" si="4"/>
        <v>0</v>
      </c>
      <c r="K46" s="23">
        <f t="shared" si="5"/>
        <v>0</v>
      </c>
      <c r="L46" s="23">
        <f t="shared" si="6"/>
        <v>0</v>
      </c>
      <c r="M46" s="23">
        <f t="shared" si="7"/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D48" s="11"/>
      <c r="E48" s="11"/>
      <c r="F48" s="25"/>
      <c r="G48" s="11"/>
      <c r="I48" s="19">
        <f>+SUM(I40:I47)</f>
        <v>11.7</v>
      </c>
      <c r="J48" s="19">
        <f>+SUM(J40:J47)</f>
        <v>11.7</v>
      </c>
      <c r="K48" s="19">
        <f>+SUM(K40:K47)</f>
        <v>9.95</v>
      </c>
      <c r="L48" s="19">
        <f>+SUM(L40:L47)</f>
        <v>9.95</v>
      </c>
      <c r="M48" s="19">
        <f>+SUM(M40:M47)</f>
        <v>0</v>
      </c>
    </row>
    <row r="49" spans="1:13" ht="12.75">
      <c r="A49" s="15"/>
      <c r="B49" s="30"/>
      <c r="D49" s="11"/>
      <c r="E49" s="20"/>
      <c r="F49" s="21"/>
      <c r="G49" s="8"/>
      <c r="I49" s="19"/>
      <c r="J49" s="19"/>
      <c r="K49" s="19"/>
      <c r="L49" s="19"/>
      <c r="M49" s="19"/>
    </row>
    <row r="50" spans="1:13" ht="15.75">
      <c r="A50" s="140" t="s">
        <v>49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2015</v>
      </c>
      <c r="J52" s="14">
        <f>+J$3</f>
        <v>2016</v>
      </c>
      <c r="K52" s="14">
        <f>+K$3</f>
        <v>2017</v>
      </c>
      <c r="L52" s="14">
        <f>+L$3</f>
        <v>2018</v>
      </c>
      <c r="M52" s="14">
        <f>+M$3</f>
        <v>2019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10" t="s">
        <v>298</v>
      </c>
      <c r="C54" s="11" t="s">
        <v>17</v>
      </c>
      <c r="D54" s="11" t="s">
        <v>24</v>
      </c>
      <c r="E54" s="11">
        <v>2013</v>
      </c>
      <c r="F54" s="25">
        <v>1.4</v>
      </c>
      <c r="G54" s="11">
        <v>2017</v>
      </c>
      <c r="I54" s="23">
        <f aca="true" t="shared" si="8" ref="I54:I63">+CEILING(IF($I$52=E54,F54,IF($I$52&lt;=G54,F54*0.3,0)),0.05)</f>
        <v>0.45</v>
      </c>
      <c r="J54" s="23">
        <f aca="true" t="shared" si="9" ref="J54:J63">+CEILING(IF($J$52&lt;=G54,F54*0.3,0),0.05)</f>
        <v>0.45</v>
      </c>
      <c r="K54" s="23">
        <f aca="true" t="shared" si="10" ref="K54:K63">+CEILING(IF($K$52&lt;=G54,F54*0.3,0),0.05)</f>
        <v>0.45</v>
      </c>
      <c r="L54" s="23">
        <f aca="true" t="shared" si="11" ref="L54:L63">+CEILING(IF($L$52&lt;=G54,F54*0.3,0),0.05)</f>
        <v>0</v>
      </c>
      <c r="M54" s="23">
        <f aca="true" t="shared" si="12" ref="M54:M63">CEILING(IF($M$52&lt;=G54,F54*0.3,0),0.05)</f>
        <v>0</v>
      </c>
    </row>
    <row r="55" spans="1:13" ht="12.75">
      <c r="A55" s="15">
        <v>2</v>
      </c>
      <c r="B55" s="49" t="s">
        <v>305</v>
      </c>
      <c r="C55" s="11" t="s">
        <v>17</v>
      </c>
      <c r="D55" s="11" t="s">
        <v>25</v>
      </c>
      <c r="E55" s="20">
        <v>2014</v>
      </c>
      <c r="F55" s="23">
        <v>1.4</v>
      </c>
      <c r="G55" s="20">
        <v>2017</v>
      </c>
      <c r="I55" s="23">
        <f t="shared" si="8"/>
        <v>0.45</v>
      </c>
      <c r="J55" s="23">
        <f t="shared" si="9"/>
        <v>0.45</v>
      </c>
      <c r="K55" s="23">
        <f t="shared" si="10"/>
        <v>0.45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42" t="s">
        <v>184</v>
      </c>
      <c r="C56" s="11" t="s">
        <v>26</v>
      </c>
      <c r="D56" s="11" t="s">
        <v>42</v>
      </c>
      <c r="E56" s="20">
        <v>2013</v>
      </c>
      <c r="F56" s="21">
        <v>7.5</v>
      </c>
      <c r="G56" s="8">
        <v>2016</v>
      </c>
      <c r="I56" s="23">
        <f t="shared" si="8"/>
        <v>2.25</v>
      </c>
      <c r="J56" s="23">
        <f t="shared" si="9"/>
        <v>2.25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42" t="s">
        <v>403</v>
      </c>
      <c r="C57" s="11" t="s">
        <v>17</v>
      </c>
      <c r="D57" s="11" t="s">
        <v>32</v>
      </c>
      <c r="E57" s="20">
        <v>2014</v>
      </c>
      <c r="F57" s="21">
        <v>6</v>
      </c>
      <c r="G57" s="8">
        <v>2016</v>
      </c>
      <c r="I57" s="23">
        <f t="shared" si="8"/>
        <v>1.8</v>
      </c>
      <c r="J57" s="23">
        <f t="shared" si="9"/>
        <v>1.8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49" t="s">
        <v>515</v>
      </c>
      <c r="C58" s="11" t="s">
        <v>17</v>
      </c>
      <c r="D58" s="11" t="s">
        <v>46</v>
      </c>
      <c r="E58" s="20">
        <v>2015</v>
      </c>
      <c r="F58" s="23">
        <v>3.25</v>
      </c>
      <c r="G58" s="20">
        <v>2016</v>
      </c>
      <c r="I58" s="23">
        <f t="shared" si="8"/>
        <v>3.25</v>
      </c>
      <c r="J58" s="23">
        <f t="shared" si="9"/>
        <v>1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49" t="s">
        <v>664</v>
      </c>
      <c r="C59" s="11" t="s">
        <v>37</v>
      </c>
      <c r="D59" s="11" t="s">
        <v>39</v>
      </c>
      <c r="E59" s="20">
        <v>2015</v>
      </c>
      <c r="F59" s="23">
        <v>3.25</v>
      </c>
      <c r="G59" s="20">
        <v>2016</v>
      </c>
      <c r="I59" s="23">
        <f t="shared" si="8"/>
        <v>3.25</v>
      </c>
      <c r="J59" s="23">
        <f t="shared" si="9"/>
        <v>1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10" t="s">
        <v>211</v>
      </c>
      <c r="C60" s="11" t="s">
        <v>19</v>
      </c>
      <c r="D60" s="11" t="s">
        <v>22</v>
      </c>
      <c r="E60" s="20">
        <v>2012</v>
      </c>
      <c r="F60" s="21">
        <v>1.3</v>
      </c>
      <c r="G60" s="8">
        <v>2016</v>
      </c>
      <c r="I60" s="23">
        <f t="shared" si="8"/>
        <v>0.4</v>
      </c>
      <c r="J60" s="23">
        <f t="shared" si="9"/>
        <v>0.4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55" t="s">
        <v>110</v>
      </c>
      <c r="C61" s="11" t="s">
        <v>15</v>
      </c>
      <c r="D61" s="11" t="s">
        <v>21</v>
      </c>
      <c r="E61" s="20">
        <v>2012</v>
      </c>
      <c r="F61" s="21">
        <v>12.1</v>
      </c>
      <c r="G61" s="8">
        <v>2015</v>
      </c>
      <c r="I61" s="23">
        <f t="shared" si="8"/>
        <v>3.6500000000000004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22" t="s">
        <v>120</v>
      </c>
      <c r="C62" s="11" t="s">
        <v>17</v>
      </c>
      <c r="D62" s="11" t="s">
        <v>23</v>
      </c>
      <c r="E62" s="20">
        <v>2015</v>
      </c>
      <c r="F62" s="23">
        <v>6.65</v>
      </c>
      <c r="G62" s="20">
        <v>2015</v>
      </c>
      <c r="I62" s="23">
        <f t="shared" si="8"/>
        <v>6.65</v>
      </c>
      <c r="J62" s="23">
        <f t="shared" si="9"/>
        <v>0</v>
      </c>
      <c r="K62" s="23">
        <f t="shared" si="10"/>
        <v>0</v>
      </c>
      <c r="L62" s="23">
        <f t="shared" si="11"/>
        <v>0</v>
      </c>
      <c r="M62" s="23">
        <f t="shared" si="12"/>
        <v>0</v>
      </c>
    </row>
    <row r="63" spans="1:13" ht="12.75">
      <c r="A63" s="15">
        <v>10</v>
      </c>
      <c r="B63" s="10" t="s">
        <v>157</v>
      </c>
      <c r="C63" s="11" t="s">
        <v>19</v>
      </c>
      <c r="D63" s="11" t="s">
        <v>29</v>
      </c>
      <c r="E63" s="20">
        <v>2011</v>
      </c>
      <c r="F63" s="21">
        <v>3.8</v>
      </c>
      <c r="G63" s="8">
        <v>2015</v>
      </c>
      <c r="I63" s="23">
        <f t="shared" si="8"/>
        <v>1.1500000000000001</v>
      </c>
      <c r="J63" s="23">
        <f t="shared" si="9"/>
        <v>0</v>
      </c>
      <c r="K63" s="23">
        <f t="shared" si="10"/>
        <v>0</v>
      </c>
      <c r="L63" s="23">
        <f t="shared" si="11"/>
        <v>0</v>
      </c>
      <c r="M63" s="23">
        <f t="shared" si="12"/>
        <v>0</v>
      </c>
    </row>
    <row r="64" spans="1:13" ht="12.75">
      <c r="A64" s="15">
        <v>11</v>
      </c>
      <c r="B64" s="10" t="s">
        <v>137</v>
      </c>
      <c r="C64" s="11" t="s">
        <v>17</v>
      </c>
      <c r="D64" s="11" t="s">
        <v>45</v>
      </c>
      <c r="E64" s="20">
        <v>2011</v>
      </c>
      <c r="F64" s="21">
        <v>2.6</v>
      </c>
      <c r="G64" s="9">
        <v>2015</v>
      </c>
      <c r="I64" s="23">
        <f aca="true" t="shared" si="13" ref="I64:I70">+CEILING(IF($I$52=E64,F64,IF($I$52&lt;=G64,F64*0.3,0)),0.05)</f>
        <v>0.8</v>
      </c>
      <c r="J64" s="23">
        <f aca="true" t="shared" si="14" ref="J64:J70">+CEILING(IF($J$52&lt;=G64,F64*0.3,0),0.05)</f>
        <v>0</v>
      </c>
      <c r="K64" s="23">
        <f aca="true" t="shared" si="15" ref="K64:K70">+CEILING(IF($K$52&lt;=G64,F64*0.3,0),0.05)</f>
        <v>0</v>
      </c>
      <c r="L64" s="23">
        <f aca="true" t="shared" si="16" ref="L64:L70">+CEILING(IF($L$52&lt;=G64,F64*0.3,0),0.05)</f>
        <v>0</v>
      </c>
      <c r="M64" s="23">
        <f aca="true" t="shared" si="17" ref="M64:M70">CEILING(IF($M$52&lt;=G64,F64*0.3,0),0.05)</f>
        <v>0</v>
      </c>
    </row>
    <row r="65" spans="1:13" ht="12.75">
      <c r="A65" s="15">
        <v>12</v>
      </c>
      <c r="B65" s="42" t="s">
        <v>162</v>
      </c>
      <c r="C65" s="11" t="s">
        <v>17</v>
      </c>
      <c r="D65" s="11" t="s">
        <v>48</v>
      </c>
      <c r="E65" s="20">
        <v>2013</v>
      </c>
      <c r="F65" s="21">
        <v>1.55</v>
      </c>
      <c r="G65" s="8">
        <v>2015</v>
      </c>
      <c r="I65" s="23">
        <f t="shared" si="13"/>
        <v>0.5</v>
      </c>
      <c r="J65" s="23">
        <f t="shared" si="14"/>
        <v>0</v>
      </c>
      <c r="K65" s="23">
        <f t="shared" si="15"/>
        <v>0</v>
      </c>
      <c r="L65" s="23">
        <f t="shared" si="16"/>
        <v>0</v>
      </c>
      <c r="M65" s="23">
        <f t="shared" si="17"/>
        <v>0</v>
      </c>
    </row>
    <row r="66" spans="1:13" ht="12.75">
      <c r="A66" s="15">
        <v>13</v>
      </c>
      <c r="B66" s="35"/>
      <c r="D66" s="11"/>
      <c r="E66" s="20"/>
      <c r="F66" s="21"/>
      <c r="G66" s="8"/>
      <c r="I66" s="23">
        <f t="shared" si="13"/>
        <v>0</v>
      </c>
      <c r="J66" s="23">
        <f t="shared" si="14"/>
        <v>0</v>
      </c>
      <c r="K66" s="23">
        <f t="shared" si="15"/>
        <v>0</v>
      </c>
      <c r="L66" s="23">
        <f t="shared" si="16"/>
        <v>0</v>
      </c>
      <c r="M66" s="23">
        <f t="shared" si="17"/>
        <v>0</v>
      </c>
    </row>
    <row r="67" spans="1:13" ht="12.75">
      <c r="A67" s="15">
        <v>14</v>
      </c>
      <c r="B67" s="42"/>
      <c r="D67" s="11"/>
      <c r="E67" s="20"/>
      <c r="F67" s="21"/>
      <c r="G67" s="8"/>
      <c r="I67" s="23">
        <f t="shared" si="13"/>
        <v>0</v>
      </c>
      <c r="J67" s="23">
        <f t="shared" si="14"/>
        <v>0</v>
      </c>
      <c r="K67" s="23">
        <f t="shared" si="15"/>
        <v>0</v>
      </c>
      <c r="L67" s="23">
        <f t="shared" si="16"/>
        <v>0</v>
      </c>
      <c r="M67" s="23">
        <f t="shared" si="17"/>
        <v>0</v>
      </c>
    </row>
    <row r="68" spans="1:13" ht="12.75">
      <c r="A68" s="15">
        <v>15</v>
      </c>
      <c r="B68" s="42"/>
      <c r="D68" s="11"/>
      <c r="E68" s="20"/>
      <c r="F68" s="21"/>
      <c r="G68" s="8"/>
      <c r="I68" s="23">
        <f t="shared" si="13"/>
        <v>0</v>
      </c>
      <c r="J68" s="23">
        <f t="shared" si="14"/>
        <v>0</v>
      </c>
      <c r="K68" s="23">
        <f t="shared" si="15"/>
        <v>0</v>
      </c>
      <c r="L68" s="23">
        <f t="shared" si="16"/>
        <v>0</v>
      </c>
      <c r="M68" s="23">
        <f t="shared" si="17"/>
        <v>0</v>
      </c>
    </row>
    <row r="69" spans="1:13" ht="12.75">
      <c r="A69" s="15">
        <v>16</v>
      </c>
      <c r="B69" s="49"/>
      <c r="D69" s="11"/>
      <c r="E69" s="20"/>
      <c r="F69" s="23"/>
      <c r="G69" s="20"/>
      <c r="I69" s="23">
        <f t="shared" si="13"/>
        <v>0</v>
      </c>
      <c r="J69" s="23">
        <f t="shared" si="14"/>
        <v>0</v>
      </c>
      <c r="K69" s="23">
        <f t="shared" si="15"/>
        <v>0</v>
      </c>
      <c r="L69" s="23">
        <f t="shared" si="16"/>
        <v>0</v>
      </c>
      <c r="M69" s="23">
        <f t="shared" si="17"/>
        <v>0</v>
      </c>
    </row>
    <row r="70" spans="1:13" ht="12.75">
      <c r="A70" s="15">
        <v>17</v>
      </c>
      <c r="B70" s="42"/>
      <c r="D70" s="11"/>
      <c r="E70" s="20"/>
      <c r="F70" s="21"/>
      <c r="G70" s="8"/>
      <c r="I70" s="23">
        <f t="shared" si="13"/>
        <v>0</v>
      </c>
      <c r="J70" s="23">
        <f t="shared" si="14"/>
        <v>0</v>
      </c>
      <c r="K70" s="23">
        <f t="shared" si="15"/>
        <v>0</v>
      </c>
      <c r="L70" s="23">
        <f t="shared" si="16"/>
        <v>0</v>
      </c>
      <c r="M70" s="23">
        <f t="shared" si="17"/>
        <v>0</v>
      </c>
    </row>
    <row r="71" spans="9:13" ht="7.5" customHeight="1">
      <c r="I71" s="22"/>
      <c r="J71" s="22"/>
      <c r="K71" s="22"/>
      <c r="L71" s="22"/>
      <c r="M71" s="22"/>
    </row>
    <row r="72" spans="9:13" ht="12.75">
      <c r="I72" s="24">
        <f>+SUM(I54:I71)</f>
        <v>24.599999999999998</v>
      </c>
      <c r="J72" s="24">
        <f>+SUM(J54:J71)</f>
        <v>7.3500000000000005</v>
      </c>
      <c r="K72" s="24">
        <f>+SUM(K54:K71)</f>
        <v>0.9</v>
      </c>
      <c r="L72" s="24">
        <f>+SUM(L54:L71)</f>
        <v>0</v>
      </c>
      <c r="M72" s="24">
        <f>+SUM(M54:M71)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10" t="s">
        <v>481</v>
      </c>
      <c r="C5" s="11" t="s">
        <v>19</v>
      </c>
      <c r="D5" s="56" t="s">
        <v>39</v>
      </c>
      <c r="E5" s="20" t="s">
        <v>441</v>
      </c>
      <c r="F5" s="25">
        <v>14.75</v>
      </c>
      <c r="G5" s="17">
        <v>2019</v>
      </c>
      <c r="I5" s="23">
        <f aca="true" t="shared" si="0" ref="I5:M14">+IF($G5&gt;=I$3,$F5,0)</f>
        <v>14.75</v>
      </c>
      <c r="J5" s="23">
        <f t="shared" si="0"/>
        <v>14.75</v>
      </c>
      <c r="K5" s="23">
        <f t="shared" si="0"/>
        <v>14.75</v>
      </c>
      <c r="L5" s="23">
        <f t="shared" si="0"/>
        <v>14.75</v>
      </c>
      <c r="M5" s="23">
        <f t="shared" si="0"/>
        <v>14.75</v>
      </c>
    </row>
    <row r="6" spans="1:13" ht="12.75">
      <c r="A6" s="15">
        <v>2</v>
      </c>
      <c r="B6" s="54" t="s">
        <v>552</v>
      </c>
      <c r="C6" s="11" t="s">
        <v>26</v>
      </c>
      <c r="D6" s="11" t="s">
        <v>36</v>
      </c>
      <c r="E6" s="20" t="s">
        <v>441</v>
      </c>
      <c r="F6" s="21">
        <v>1.7</v>
      </c>
      <c r="G6" s="8">
        <v>2019</v>
      </c>
      <c r="I6" s="23">
        <f t="shared" si="0"/>
        <v>1.7</v>
      </c>
      <c r="J6" s="23">
        <f t="shared" si="0"/>
        <v>1.7</v>
      </c>
      <c r="K6" s="23">
        <f t="shared" si="0"/>
        <v>1.7</v>
      </c>
      <c r="L6" s="23">
        <f t="shared" si="0"/>
        <v>1.7</v>
      </c>
      <c r="M6" s="23">
        <f t="shared" si="0"/>
        <v>1.7</v>
      </c>
    </row>
    <row r="7" spans="1:13" ht="12.75">
      <c r="A7" s="15">
        <v>3</v>
      </c>
      <c r="B7" s="10" t="s">
        <v>463</v>
      </c>
      <c r="C7" s="11" t="s">
        <v>40</v>
      </c>
      <c r="D7" s="11" t="s">
        <v>226</v>
      </c>
      <c r="E7" s="20" t="s">
        <v>441</v>
      </c>
      <c r="F7" s="16">
        <v>8</v>
      </c>
      <c r="G7" s="17">
        <v>2018</v>
      </c>
      <c r="I7" s="23">
        <f t="shared" si="0"/>
        <v>8</v>
      </c>
      <c r="J7" s="23">
        <f t="shared" si="0"/>
        <v>8</v>
      </c>
      <c r="K7" s="23">
        <f t="shared" si="0"/>
        <v>8</v>
      </c>
      <c r="L7" s="23">
        <f t="shared" si="0"/>
        <v>8</v>
      </c>
      <c r="M7" s="23">
        <f t="shared" si="0"/>
        <v>0</v>
      </c>
    </row>
    <row r="8" spans="1:13" ht="12.75">
      <c r="A8" s="15">
        <v>4</v>
      </c>
      <c r="B8" s="42" t="s">
        <v>297</v>
      </c>
      <c r="C8" s="11" t="s">
        <v>17</v>
      </c>
      <c r="D8" s="56" t="s">
        <v>16</v>
      </c>
      <c r="E8" s="20" t="s">
        <v>47</v>
      </c>
      <c r="F8" s="21">
        <v>4.4</v>
      </c>
      <c r="G8" s="9">
        <v>2017</v>
      </c>
      <c r="I8" s="23">
        <f t="shared" si="0"/>
        <v>4.4</v>
      </c>
      <c r="J8" s="23">
        <f t="shared" si="0"/>
        <v>4.4</v>
      </c>
      <c r="K8" s="23">
        <f t="shared" si="0"/>
        <v>4.4</v>
      </c>
      <c r="L8" s="23">
        <f t="shared" si="0"/>
        <v>0</v>
      </c>
      <c r="M8" s="23">
        <f t="shared" si="0"/>
        <v>0</v>
      </c>
    </row>
    <row r="9" spans="1:13" ht="12.75">
      <c r="A9" s="15">
        <v>5</v>
      </c>
      <c r="B9" s="10" t="s">
        <v>295</v>
      </c>
      <c r="C9" s="56" t="s">
        <v>19</v>
      </c>
      <c r="D9" s="56" t="s">
        <v>38</v>
      </c>
      <c r="E9" s="20" t="s">
        <v>47</v>
      </c>
      <c r="F9" s="21">
        <v>2.25</v>
      </c>
      <c r="G9" s="17">
        <v>2017</v>
      </c>
      <c r="I9" s="23">
        <f t="shared" si="0"/>
        <v>2.25</v>
      </c>
      <c r="J9" s="23">
        <f t="shared" si="0"/>
        <v>2.25</v>
      </c>
      <c r="K9" s="23">
        <f t="shared" si="0"/>
        <v>2.25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42" t="s">
        <v>243</v>
      </c>
      <c r="C10" s="11" t="s">
        <v>17</v>
      </c>
      <c r="D10" s="56" t="s">
        <v>81</v>
      </c>
      <c r="E10" s="20" t="s">
        <v>47</v>
      </c>
      <c r="F10" s="21">
        <v>18.25</v>
      </c>
      <c r="G10" s="8">
        <v>2016</v>
      </c>
      <c r="I10" s="23">
        <f t="shared" si="0"/>
        <v>18.25</v>
      </c>
      <c r="J10" s="23">
        <f t="shared" si="0"/>
        <v>18.25</v>
      </c>
      <c r="K10" s="23">
        <f t="shared" si="0"/>
        <v>0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42" t="s">
        <v>169</v>
      </c>
      <c r="C11" s="11" t="s">
        <v>19</v>
      </c>
      <c r="D11" s="11" t="s">
        <v>22</v>
      </c>
      <c r="E11" s="20" t="s">
        <v>47</v>
      </c>
      <c r="F11" s="21">
        <v>12.55</v>
      </c>
      <c r="G11" s="9">
        <v>2016</v>
      </c>
      <c r="I11" s="23">
        <f t="shared" si="0"/>
        <v>12.55</v>
      </c>
      <c r="J11" s="23">
        <f t="shared" si="0"/>
        <v>12.55</v>
      </c>
      <c r="K11" s="23">
        <f t="shared" si="0"/>
        <v>0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10" t="s">
        <v>219</v>
      </c>
      <c r="C12" s="11" t="s">
        <v>18</v>
      </c>
      <c r="D12" s="11" t="s">
        <v>29</v>
      </c>
      <c r="E12" s="11" t="s">
        <v>434</v>
      </c>
      <c r="F12" s="25">
        <v>8</v>
      </c>
      <c r="G12" s="11">
        <v>2016</v>
      </c>
      <c r="I12" s="23">
        <f t="shared" si="0"/>
        <v>8</v>
      </c>
      <c r="J12" s="23">
        <f t="shared" si="0"/>
        <v>8</v>
      </c>
      <c r="K12" s="23">
        <f t="shared" si="0"/>
        <v>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10" t="s">
        <v>223</v>
      </c>
      <c r="C13" s="56" t="s">
        <v>17</v>
      </c>
      <c r="D13" s="56" t="s">
        <v>21</v>
      </c>
      <c r="E13" s="20" t="s">
        <v>75</v>
      </c>
      <c r="F13" s="21">
        <v>6.65</v>
      </c>
      <c r="G13" s="17">
        <v>2016</v>
      </c>
      <c r="I13" s="23">
        <f t="shared" si="0"/>
        <v>6.65</v>
      </c>
      <c r="J13" s="23">
        <f t="shared" si="0"/>
        <v>6.65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54" t="s">
        <v>581</v>
      </c>
      <c r="C14" s="56" t="s">
        <v>37</v>
      </c>
      <c r="D14" s="56" t="s">
        <v>52</v>
      </c>
      <c r="E14" s="56" t="s">
        <v>441</v>
      </c>
      <c r="F14" s="16">
        <v>6.35</v>
      </c>
      <c r="G14" s="17">
        <v>2016</v>
      </c>
      <c r="I14" s="23">
        <f t="shared" si="0"/>
        <v>6.35</v>
      </c>
      <c r="J14" s="23">
        <f t="shared" si="0"/>
        <v>6.35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42" t="s">
        <v>203</v>
      </c>
      <c r="C15" s="11" t="s">
        <v>15</v>
      </c>
      <c r="D15" s="11" t="s">
        <v>36</v>
      </c>
      <c r="E15" s="20" t="s">
        <v>47</v>
      </c>
      <c r="F15" s="21">
        <v>5.6</v>
      </c>
      <c r="G15" s="8">
        <v>2016</v>
      </c>
      <c r="I15" s="23">
        <f aca="true" t="shared" si="1" ref="I15:M24">+IF($G15&gt;=I$3,$F15,0)</f>
        <v>5.6</v>
      </c>
      <c r="J15" s="23">
        <f t="shared" si="1"/>
        <v>5.6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54" t="s">
        <v>587</v>
      </c>
      <c r="C16" s="56" t="s">
        <v>37</v>
      </c>
      <c r="D16" s="56" t="s">
        <v>38</v>
      </c>
      <c r="E16" s="57" t="s">
        <v>441</v>
      </c>
      <c r="F16" s="21">
        <v>5.5</v>
      </c>
      <c r="G16" s="8">
        <v>2016</v>
      </c>
      <c r="I16" s="23">
        <f t="shared" si="1"/>
        <v>5.5</v>
      </c>
      <c r="J16" s="23">
        <f t="shared" si="1"/>
        <v>5.5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54" t="s">
        <v>366</v>
      </c>
      <c r="C17" s="11" t="s">
        <v>15</v>
      </c>
      <c r="D17" s="11" t="s">
        <v>22</v>
      </c>
      <c r="E17" s="57" t="s">
        <v>47</v>
      </c>
      <c r="F17" s="21">
        <v>3.25</v>
      </c>
      <c r="G17" s="9">
        <v>2016</v>
      </c>
      <c r="I17" s="23">
        <f t="shared" si="1"/>
        <v>3.25</v>
      </c>
      <c r="J17" s="23">
        <f t="shared" si="1"/>
        <v>3.25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10" t="s">
        <v>215</v>
      </c>
      <c r="C18" s="11" t="s">
        <v>17</v>
      </c>
      <c r="D18" s="11" t="s">
        <v>32</v>
      </c>
      <c r="E18" s="20" t="s">
        <v>47</v>
      </c>
      <c r="F18" s="21">
        <v>1.6</v>
      </c>
      <c r="G18" s="17">
        <v>2016</v>
      </c>
      <c r="I18" s="23">
        <f t="shared" si="1"/>
        <v>1.6</v>
      </c>
      <c r="J18" s="23">
        <f t="shared" si="1"/>
        <v>1.6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42" t="s">
        <v>527</v>
      </c>
      <c r="C19" s="11" t="s">
        <v>17</v>
      </c>
      <c r="D19" s="56" t="s">
        <v>438</v>
      </c>
      <c r="E19" s="20" t="s">
        <v>441</v>
      </c>
      <c r="F19" s="21">
        <v>11</v>
      </c>
      <c r="G19" s="8">
        <v>2015</v>
      </c>
      <c r="I19" s="23">
        <f t="shared" si="1"/>
        <v>11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4" t="s">
        <v>556</v>
      </c>
      <c r="C20" s="11" t="s">
        <v>19</v>
      </c>
      <c r="D20" s="11" t="s">
        <v>24</v>
      </c>
      <c r="E20" s="20" t="s">
        <v>441</v>
      </c>
      <c r="F20" s="21">
        <v>7.75</v>
      </c>
      <c r="G20" s="17">
        <v>2015</v>
      </c>
      <c r="I20" s="23">
        <f t="shared" si="1"/>
        <v>7.75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5" t="s">
        <v>127</v>
      </c>
      <c r="C21" s="11" t="s">
        <v>40</v>
      </c>
      <c r="D21" s="11" t="s">
        <v>22</v>
      </c>
      <c r="E21" s="20" t="s">
        <v>47</v>
      </c>
      <c r="F21" s="21">
        <v>5.95</v>
      </c>
      <c r="G21" s="8">
        <v>2015</v>
      </c>
      <c r="I21" s="23">
        <f t="shared" si="1"/>
        <v>5.95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54" t="s">
        <v>563</v>
      </c>
      <c r="C22" s="56" t="s">
        <v>15</v>
      </c>
      <c r="D22" s="56" t="s">
        <v>21</v>
      </c>
      <c r="E22" s="57" t="s">
        <v>441</v>
      </c>
      <c r="F22" s="25">
        <v>5.25</v>
      </c>
      <c r="G22" s="11">
        <v>2015</v>
      </c>
      <c r="I22" s="23">
        <f t="shared" si="1"/>
        <v>5.25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10" t="s">
        <v>288</v>
      </c>
      <c r="C23" s="11" t="s">
        <v>18</v>
      </c>
      <c r="D23" s="11" t="s">
        <v>21</v>
      </c>
      <c r="E23" s="20" t="s">
        <v>47</v>
      </c>
      <c r="F23" s="21">
        <v>3.8</v>
      </c>
      <c r="G23" s="8">
        <v>2015</v>
      </c>
      <c r="I23" s="23">
        <f t="shared" si="1"/>
        <v>3.8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10" t="s">
        <v>724</v>
      </c>
      <c r="C24" s="11" t="s">
        <v>17</v>
      </c>
      <c r="D24" s="56" t="s">
        <v>42</v>
      </c>
      <c r="E24" s="20" t="s">
        <v>594</v>
      </c>
      <c r="F24" s="25">
        <v>1.7</v>
      </c>
      <c r="G24" s="17">
        <v>2015</v>
      </c>
      <c r="I24" s="23">
        <f t="shared" si="1"/>
        <v>1.7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10" t="s">
        <v>728</v>
      </c>
      <c r="C25" s="11" t="s">
        <v>17</v>
      </c>
      <c r="D25" s="11" t="s">
        <v>34</v>
      </c>
      <c r="E25" s="11" t="s">
        <v>594</v>
      </c>
      <c r="F25" s="25">
        <v>1.7</v>
      </c>
      <c r="G25" s="11">
        <v>2015</v>
      </c>
      <c r="I25" s="23">
        <f aca="true" t="shared" si="2" ref="I25:M32">+IF($G25&gt;=I$3,$F25,0)</f>
        <v>1.7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10" t="s">
        <v>739</v>
      </c>
      <c r="C26" s="11" t="s">
        <v>17</v>
      </c>
      <c r="D26" s="11" t="s">
        <v>45</v>
      </c>
      <c r="E26" s="20" t="s">
        <v>594</v>
      </c>
      <c r="F26" s="25">
        <v>1.7</v>
      </c>
      <c r="G26" s="11">
        <v>2015</v>
      </c>
      <c r="I26" s="23">
        <f t="shared" si="2"/>
        <v>1.7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4" t="s">
        <v>715</v>
      </c>
      <c r="C27" s="56" t="s">
        <v>17</v>
      </c>
      <c r="D27" s="56" t="s">
        <v>46</v>
      </c>
      <c r="E27" s="57" t="s">
        <v>594</v>
      </c>
      <c r="F27" s="21">
        <v>1.7</v>
      </c>
      <c r="G27" s="8">
        <v>2015</v>
      </c>
      <c r="I27" s="23">
        <f t="shared" si="2"/>
        <v>1.7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4" t="s">
        <v>640</v>
      </c>
      <c r="C28" s="11" t="s">
        <v>31</v>
      </c>
      <c r="D28" s="56" t="s">
        <v>39</v>
      </c>
      <c r="E28" s="57" t="s">
        <v>594</v>
      </c>
      <c r="F28" s="21">
        <v>1.7</v>
      </c>
      <c r="G28" s="9">
        <v>2015</v>
      </c>
      <c r="I28" s="23">
        <f t="shared" si="2"/>
        <v>1.7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10" t="s">
        <v>645</v>
      </c>
      <c r="C29" s="11" t="s">
        <v>37</v>
      </c>
      <c r="D29" s="11" t="s">
        <v>35</v>
      </c>
      <c r="E29" s="20" t="s">
        <v>594</v>
      </c>
      <c r="F29" s="16">
        <v>1.7</v>
      </c>
      <c r="G29" s="17">
        <v>2015</v>
      </c>
      <c r="I29" s="23">
        <f t="shared" si="2"/>
        <v>1.7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10" t="s">
        <v>648</v>
      </c>
      <c r="C30" s="11" t="s">
        <v>37</v>
      </c>
      <c r="D30" s="11" t="s">
        <v>45</v>
      </c>
      <c r="E30" s="20" t="s">
        <v>594</v>
      </c>
      <c r="F30" s="16">
        <v>1.7</v>
      </c>
      <c r="G30" s="17">
        <v>2015</v>
      </c>
      <c r="I30" s="23">
        <f t="shared" si="2"/>
        <v>1.7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42" t="s">
        <v>688</v>
      </c>
      <c r="C31" s="11" t="s">
        <v>17</v>
      </c>
      <c r="D31" s="56" t="s">
        <v>36</v>
      </c>
      <c r="E31" s="20" t="s">
        <v>594</v>
      </c>
      <c r="F31" s="21">
        <v>1.7</v>
      </c>
      <c r="G31" s="8">
        <v>2015</v>
      </c>
      <c r="I31" s="23">
        <f t="shared" si="2"/>
        <v>1.7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54" t="s">
        <v>740</v>
      </c>
      <c r="C32" s="11" t="s">
        <v>17</v>
      </c>
      <c r="D32" s="11" t="s">
        <v>24</v>
      </c>
      <c r="E32" s="20" t="s">
        <v>594</v>
      </c>
      <c r="F32" s="21">
        <v>1.7</v>
      </c>
      <c r="G32" s="17">
        <v>2015</v>
      </c>
      <c r="I32" s="23">
        <f t="shared" si="2"/>
        <v>1.7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2:13" ht="12.75">
      <c r="B34" s="30"/>
      <c r="D34" s="11"/>
      <c r="E34" s="20"/>
      <c r="F34" s="21"/>
      <c r="G34" s="8"/>
      <c r="I34" s="24">
        <f>+SUM(I5:I32)</f>
        <v>147.89999999999992</v>
      </c>
      <c r="J34" s="24">
        <f>+SUM(J5:J32)</f>
        <v>98.85</v>
      </c>
      <c r="K34" s="24">
        <f>+SUM(K5:K32)</f>
        <v>31.1</v>
      </c>
      <c r="L34" s="24">
        <f>+SUM(L5:L32)</f>
        <v>24.45</v>
      </c>
      <c r="M34" s="24">
        <f>+SUM(M5:M32)</f>
        <v>16.45</v>
      </c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2015</v>
      </c>
      <c r="J38" s="14">
        <f>+J$3</f>
        <v>2016</v>
      </c>
      <c r="K38" s="14">
        <f>+K$3</f>
        <v>2017</v>
      </c>
      <c r="L38" s="14">
        <f>+L$3</f>
        <v>2018</v>
      </c>
      <c r="M38" s="14">
        <f>+M$3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49" t="s">
        <v>504</v>
      </c>
      <c r="C40" s="11" t="s">
        <v>26</v>
      </c>
      <c r="D40" s="11" t="s">
        <v>38</v>
      </c>
      <c r="E40" s="20" t="s">
        <v>441</v>
      </c>
      <c r="F40" s="21">
        <v>9.5</v>
      </c>
      <c r="G40" s="8">
        <v>2019</v>
      </c>
      <c r="I40" s="23">
        <f aca="true" t="shared" si="3" ref="I40:I45">+CEILING(IF($I$38&lt;=G40,F40*0.3,0),0.05)</f>
        <v>2.85</v>
      </c>
      <c r="J40" s="23">
        <f aca="true" t="shared" si="4" ref="J40:J45">+CEILING(IF($J$38&lt;=G40,F40*0.3,0),0.05)</f>
        <v>2.85</v>
      </c>
      <c r="K40" s="23">
        <f aca="true" t="shared" si="5" ref="K40:K45">+CEILING(IF($K$38&lt;=G40,F40*0.3,0),0.05)</f>
        <v>2.85</v>
      </c>
      <c r="L40" s="23">
        <f aca="true" t="shared" si="6" ref="L40:L45">+CEILING(IF($L$38&lt;=G40,F40*0.3,0),0.05)</f>
        <v>2.85</v>
      </c>
      <c r="M40" s="23">
        <f aca="true" t="shared" si="7" ref="M40:M45">+CEILING(IF($M$38&lt;=G40,F40*0.3,0),0.05)</f>
        <v>2.85</v>
      </c>
    </row>
    <row r="41" spans="1:13" ht="12.75">
      <c r="A41" s="15">
        <v>2</v>
      </c>
      <c r="B41" s="54" t="s">
        <v>543</v>
      </c>
      <c r="C41" s="11" t="s">
        <v>19</v>
      </c>
      <c r="D41" s="11" t="s">
        <v>27</v>
      </c>
      <c r="E41" s="20" t="s">
        <v>441</v>
      </c>
      <c r="F41" s="21">
        <v>7.35</v>
      </c>
      <c r="G41" s="17">
        <v>2019</v>
      </c>
      <c r="I41" s="23">
        <f t="shared" si="3"/>
        <v>2.25</v>
      </c>
      <c r="J41" s="23">
        <f t="shared" si="4"/>
        <v>2.25</v>
      </c>
      <c r="K41" s="23">
        <f t="shared" si="5"/>
        <v>2.25</v>
      </c>
      <c r="L41" s="23">
        <f t="shared" si="6"/>
        <v>2.25</v>
      </c>
      <c r="M41" s="23">
        <f t="shared" si="7"/>
        <v>2.25</v>
      </c>
    </row>
    <row r="42" spans="1:13" ht="12.75">
      <c r="A42" s="15">
        <v>3</v>
      </c>
      <c r="B42" s="59" t="s">
        <v>574</v>
      </c>
      <c r="C42" s="56" t="s">
        <v>19</v>
      </c>
      <c r="D42" s="56" t="s">
        <v>28</v>
      </c>
      <c r="E42" s="57" t="s">
        <v>441</v>
      </c>
      <c r="F42" s="21">
        <v>5.25</v>
      </c>
      <c r="G42" s="17">
        <v>2019</v>
      </c>
      <c r="I42" s="23">
        <f t="shared" si="3"/>
        <v>1.6</v>
      </c>
      <c r="J42" s="23">
        <f t="shared" si="4"/>
        <v>1.6</v>
      </c>
      <c r="K42" s="23">
        <f t="shared" si="5"/>
        <v>1.6</v>
      </c>
      <c r="L42" s="23">
        <f t="shared" si="6"/>
        <v>1.6</v>
      </c>
      <c r="M42" s="23">
        <f t="shared" si="7"/>
        <v>1.6</v>
      </c>
    </row>
    <row r="43" spans="1:13" ht="12.75">
      <c r="A43" s="15">
        <v>4</v>
      </c>
      <c r="B43" s="10" t="s">
        <v>279</v>
      </c>
      <c r="C43" s="11" t="s">
        <v>40</v>
      </c>
      <c r="D43" s="11" t="s">
        <v>24</v>
      </c>
      <c r="E43" s="20" t="s">
        <v>432</v>
      </c>
      <c r="F43" s="21">
        <v>1.4</v>
      </c>
      <c r="G43" s="17">
        <v>2017</v>
      </c>
      <c r="I43" s="23">
        <f t="shared" si="3"/>
        <v>0.45</v>
      </c>
      <c r="J43" s="23">
        <f t="shared" si="4"/>
        <v>0.45</v>
      </c>
      <c r="K43" s="23">
        <f t="shared" si="5"/>
        <v>0.45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49" t="s">
        <v>217</v>
      </c>
      <c r="C44" s="11" t="s">
        <v>15</v>
      </c>
      <c r="D44" s="11" t="s">
        <v>25</v>
      </c>
      <c r="E44" s="20" t="s">
        <v>75</v>
      </c>
      <c r="F44" s="21">
        <v>1.3</v>
      </c>
      <c r="G44" s="8">
        <v>2016</v>
      </c>
      <c r="I44" s="23">
        <f t="shared" si="3"/>
        <v>0.4</v>
      </c>
      <c r="J44" s="23">
        <f t="shared" si="4"/>
        <v>0.4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54" t="s">
        <v>573</v>
      </c>
      <c r="C45" s="56" t="s">
        <v>19</v>
      </c>
      <c r="D45" s="56" t="s">
        <v>36</v>
      </c>
      <c r="E45" s="57" t="s">
        <v>441</v>
      </c>
      <c r="F45" s="21">
        <v>6</v>
      </c>
      <c r="G45" s="8">
        <v>2015</v>
      </c>
      <c r="I45" s="23">
        <f t="shared" si="3"/>
        <v>1.8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76</v>
      </c>
      <c r="C46" s="31"/>
      <c r="D46" s="31"/>
      <c r="E46" s="31"/>
      <c r="F46" s="16"/>
      <c r="G46" s="17"/>
      <c r="I46" s="23">
        <f>+CEILING(IF($I$38&lt;=G46,F46*0.3,0),0.05)</f>
        <v>0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B48" s="30"/>
      <c r="D48" s="11"/>
      <c r="E48" s="20"/>
      <c r="F48" s="21"/>
      <c r="G48" s="8"/>
      <c r="I48" s="19">
        <f>+SUM(I40:I47)</f>
        <v>9.35</v>
      </c>
      <c r="J48" s="19">
        <f>+SUM(J40:J47)</f>
        <v>7.55</v>
      </c>
      <c r="K48" s="19">
        <f>+SUM(K40:K47)</f>
        <v>7.1499999999999995</v>
      </c>
      <c r="L48" s="19">
        <f>+SUM(L40:L47)</f>
        <v>6.699999999999999</v>
      </c>
      <c r="M48" s="19">
        <f>+SUM(M40:M47)</f>
        <v>6.699999999999999</v>
      </c>
    </row>
    <row r="50" spans="1:13" ht="15.75">
      <c r="A50" s="140" t="s">
        <v>49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2015</v>
      </c>
      <c r="J52" s="14">
        <f>+J$3</f>
        <v>2016</v>
      </c>
      <c r="K52" s="14">
        <f>+K$3</f>
        <v>2017</v>
      </c>
      <c r="L52" s="14">
        <f>+L$3</f>
        <v>2018</v>
      </c>
      <c r="M52" s="14">
        <f>+M$3</f>
        <v>2019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10" t="s">
        <v>413</v>
      </c>
      <c r="C54" s="11" t="s">
        <v>17</v>
      </c>
      <c r="D54" s="56" t="s">
        <v>32</v>
      </c>
      <c r="E54" s="20">
        <v>2015</v>
      </c>
      <c r="F54" s="25">
        <v>1.55</v>
      </c>
      <c r="G54" s="17">
        <v>2018</v>
      </c>
      <c r="I54" s="23">
        <f aca="true" t="shared" si="8" ref="I54:I63">+CEILING(IF($I$52=E54,F54,IF($I$52&lt;=G54,F54*0.3,0)),0.05)</f>
        <v>1.55</v>
      </c>
      <c r="J54" s="23">
        <f aca="true" t="shared" si="9" ref="J54:J63">+CEILING(IF($J$52&lt;=G54,F54*0.3,0),0.05)</f>
        <v>0.5</v>
      </c>
      <c r="K54" s="23">
        <f aca="true" t="shared" si="10" ref="K54:K63">+CEILING(IF($K$52&lt;=G54,F54*0.3,0),0.05)</f>
        <v>0.5</v>
      </c>
      <c r="L54" s="23">
        <f aca="true" t="shared" si="11" ref="L54:L63">+CEILING(IF($L$52&lt;=G54,F54*0.3,0),0.05)</f>
        <v>0.5</v>
      </c>
      <c r="M54" s="23">
        <f aca="true" t="shared" si="12" ref="M54:M63">CEILING(IF($M$52&lt;=G54,F54*0.3,0),0.05)</f>
        <v>0</v>
      </c>
    </row>
    <row r="55" spans="1:13" ht="12.75">
      <c r="A55" s="15">
        <v>2</v>
      </c>
      <c r="B55" s="54" t="s">
        <v>322</v>
      </c>
      <c r="C55" s="56" t="s">
        <v>19</v>
      </c>
      <c r="D55" s="56" t="s">
        <v>27</v>
      </c>
      <c r="E55" s="20">
        <v>2014</v>
      </c>
      <c r="F55" s="21">
        <v>3.5</v>
      </c>
      <c r="G55" s="8">
        <v>2017</v>
      </c>
      <c r="I55" s="23">
        <f t="shared" si="8"/>
        <v>1.05</v>
      </c>
      <c r="J55" s="23">
        <f t="shared" si="9"/>
        <v>1.05</v>
      </c>
      <c r="K55" s="23">
        <f t="shared" si="10"/>
        <v>1.05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10" t="s">
        <v>482</v>
      </c>
      <c r="C56" s="11" t="s">
        <v>26</v>
      </c>
      <c r="D56" s="11" t="s">
        <v>439</v>
      </c>
      <c r="E56" s="11">
        <v>2015</v>
      </c>
      <c r="F56" s="25">
        <v>6.5</v>
      </c>
      <c r="G56" s="11">
        <v>2016</v>
      </c>
      <c r="I56" s="23">
        <f t="shared" si="8"/>
        <v>6.5</v>
      </c>
      <c r="J56" s="23">
        <f t="shared" si="9"/>
        <v>1.9500000000000002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42" t="s">
        <v>214</v>
      </c>
      <c r="C57" s="11" t="s">
        <v>37</v>
      </c>
      <c r="D57" s="11" t="s">
        <v>38</v>
      </c>
      <c r="E57" s="20">
        <v>2013</v>
      </c>
      <c r="F57" s="21">
        <v>1.95</v>
      </c>
      <c r="G57" s="9">
        <v>2016</v>
      </c>
      <c r="I57" s="23">
        <f t="shared" si="8"/>
        <v>0.6000000000000001</v>
      </c>
      <c r="J57" s="23">
        <f t="shared" si="9"/>
        <v>0.6000000000000001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10" t="s">
        <v>206</v>
      </c>
      <c r="C58" s="11" t="s">
        <v>17</v>
      </c>
      <c r="D58" s="56" t="s">
        <v>43</v>
      </c>
      <c r="E58" s="20">
        <v>2013</v>
      </c>
      <c r="F58" s="25">
        <v>1.6</v>
      </c>
      <c r="G58" s="17">
        <v>2016</v>
      </c>
      <c r="I58" s="23">
        <f t="shared" si="8"/>
        <v>0.5</v>
      </c>
      <c r="J58" s="23">
        <f t="shared" si="9"/>
        <v>0.5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42" t="s">
        <v>130</v>
      </c>
      <c r="C59" s="11" t="s">
        <v>17</v>
      </c>
      <c r="D59" s="56" t="s">
        <v>39</v>
      </c>
      <c r="E59" s="20">
        <v>2014</v>
      </c>
      <c r="F59" s="21">
        <v>6.25</v>
      </c>
      <c r="G59" s="9">
        <v>2015</v>
      </c>
      <c r="I59" s="23">
        <f t="shared" si="8"/>
        <v>1.9000000000000001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42" t="s">
        <v>142</v>
      </c>
      <c r="C60" s="11" t="s">
        <v>19</v>
      </c>
      <c r="D60" s="11" t="s">
        <v>88</v>
      </c>
      <c r="E60" s="20">
        <v>2013</v>
      </c>
      <c r="F60" s="21">
        <v>3</v>
      </c>
      <c r="G60" s="9">
        <v>2015</v>
      </c>
      <c r="I60" s="23">
        <f t="shared" si="8"/>
        <v>0.9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10" t="s">
        <v>90</v>
      </c>
      <c r="C61" s="11" t="s">
        <v>17</v>
      </c>
      <c r="D61" s="11" t="s">
        <v>27</v>
      </c>
      <c r="E61" s="20">
        <v>2015</v>
      </c>
      <c r="F61" s="25">
        <v>2.95</v>
      </c>
      <c r="G61" s="11">
        <v>2015</v>
      </c>
      <c r="I61" s="23">
        <f t="shared" si="8"/>
        <v>2.95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42" t="s">
        <v>298</v>
      </c>
      <c r="C62" s="11" t="s">
        <v>17</v>
      </c>
      <c r="D62" s="56" t="s">
        <v>46</v>
      </c>
      <c r="E62" s="20">
        <v>2015</v>
      </c>
      <c r="F62" s="21">
        <v>1.7</v>
      </c>
      <c r="G62" s="8">
        <v>2015</v>
      </c>
      <c r="I62" s="23">
        <f t="shared" si="8"/>
        <v>1.7000000000000002</v>
      </c>
      <c r="J62" s="23">
        <f t="shared" si="9"/>
        <v>0</v>
      </c>
      <c r="K62" s="23">
        <f t="shared" si="10"/>
        <v>0</v>
      </c>
      <c r="L62" s="23">
        <f t="shared" si="11"/>
        <v>0</v>
      </c>
      <c r="M62" s="23">
        <f t="shared" si="12"/>
        <v>0</v>
      </c>
    </row>
    <row r="63" spans="1:13" ht="12.75">
      <c r="A63" s="15">
        <v>10</v>
      </c>
      <c r="B63" s="54" t="s">
        <v>599</v>
      </c>
      <c r="C63" s="56" t="s">
        <v>37</v>
      </c>
      <c r="D63" s="56" t="s">
        <v>23</v>
      </c>
      <c r="E63" s="57">
        <v>2015</v>
      </c>
      <c r="F63" s="21">
        <v>1.7</v>
      </c>
      <c r="G63" s="8">
        <v>2015</v>
      </c>
      <c r="I63" s="23">
        <f t="shared" si="8"/>
        <v>1.7000000000000002</v>
      </c>
      <c r="J63" s="23">
        <f t="shared" si="9"/>
        <v>0</v>
      </c>
      <c r="K63" s="23">
        <f t="shared" si="10"/>
        <v>0</v>
      </c>
      <c r="L63" s="23">
        <f t="shared" si="11"/>
        <v>0</v>
      </c>
      <c r="M63" s="23">
        <f t="shared" si="12"/>
        <v>0</v>
      </c>
    </row>
    <row r="64" spans="1:13" ht="12.75">
      <c r="A64" s="15">
        <v>11</v>
      </c>
      <c r="D64" s="11"/>
      <c r="E64" s="20"/>
      <c r="F64" s="16"/>
      <c r="G64" s="17"/>
      <c r="I64" s="23">
        <f aca="true" t="shared" si="13" ref="I64:I71">+CEILING(IF($I$52=E64,F64,IF($I$52&lt;=G64,F64*0.3,0)),0.05)</f>
        <v>0</v>
      </c>
      <c r="J64" s="23">
        <f aca="true" t="shared" si="14" ref="J64:J71">+CEILING(IF($J$52&lt;=G64,F64*0.3,0),0.05)</f>
        <v>0</v>
      </c>
      <c r="K64" s="23">
        <f aca="true" t="shared" si="15" ref="K64:K71">+CEILING(IF($K$52&lt;=G64,F64*0.3,0),0.05)</f>
        <v>0</v>
      </c>
      <c r="L64" s="23">
        <f aca="true" t="shared" si="16" ref="L64:L71">+CEILING(IF($L$52&lt;=G64,F64*0.3,0),0.05)</f>
        <v>0</v>
      </c>
      <c r="M64" s="23">
        <f aca="true" t="shared" si="17" ref="M64:M71">CEILING(IF($M$52&lt;=G64,F64*0.3,0),0.05)</f>
        <v>0</v>
      </c>
    </row>
    <row r="65" spans="1:13" ht="12.75">
      <c r="A65" s="15">
        <v>12</v>
      </c>
      <c r="B65" s="42"/>
      <c r="D65" s="56"/>
      <c r="E65" s="20"/>
      <c r="F65" s="21"/>
      <c r="G65" s="8"/>
      <c r="I65" s="23">
        <f t="shared" si="13"/>
        <v>0</v>
      </c>
      <c r="J65" s="23">
        <f t="shared" si="14"/>
        <v>0</v>
      </c>
      <c r="K65" s="23">
        <f t="shared" si="15"/>
        <v>0</v>
      </c>
      <c r="L65" s="23">
        <f t="shared" si="16"/>
        <v>0</v>
      </c>
      <c r="M65" s="23">
        <f t="shared" si="17"/>
        <v>0</v>
      </c>
    </row>
    <row r="66" spans="1:13" ht="12.75">
      <c r="A66" s="15">
        <v>13</v>
      </c>
      <c r="D66" s="11"/>
      <c r="E66" s="20"/>
      <c r="F66" s="16"/>
      <c r="G66" s="17"/>
      <c r="I66" s="23">
        <f t="shared" si="13"/>
        <v>0</v>
      </c>
      <c r="J66" s="23">
        <f t="shared" si="14"/>
        <v>0</v>
      </c>
      <c r="K66" s="23">
        <f t="shared" si="15"/>
        <v>0</v>
      </c>
      <c r="L66" s="23">
        <f t="shared" si="16"/>
        <v>0</v>
      </c>
      <c r="M66" s="23">
        <f t="shared" si="17"/>
        <v>0</v>
      </c>
    </row>
    <row r="67" spans="1:13" ht="12.75">
      <c r="A67" s="15">
        <v>14</v>
      </c>
      <c r="B67" s="42"/>
      <c r="D67" s="11"/>
      <c r="E67" s="20"/>
      <c r="F67" s="21"/>
      <c r="G67" s="9"/>
      <c r="I67" s="23">
        <f t="shared" si="13"/>
        <v>0</v>
      </c>
      <c r="J67" s="23">
        <f t="shared" si="14"/>
        <v>0</v>
      </c>
      <c r="K67" s="23">
        <f t="shared" si="15"/>
        <v>0</v>
      </c>
      <c r="L67" s="23">
        <f t="shared" si="16"/>
        <v>0</v>
      </c>
      <c r="M67" s="23">
        <f t="shared" si="17"/>
        <v>0</v>
      </c>
    </row>
    <row r="68" spans="1:13" ht="12.75">
      <c r="A68" s="15">
        <v>15</v>
      </c>
      <c r="B68" s="42"/>
      <c r="D68" s="11"/>
      <c r="E68" s="20"/>
      <c r="F68" s="21"/>
      <c r="G68" s="9"/>
      <c r="I68" s="23">
        <f t="shared" si="13"/>
        <v>0</v>
      </c>
      <c r="J68" s="23">
        <f t="shared" si="14"/>
        <v>0</v>
      </c>
      <c r="K68" s="23">
        <f t="shared" si="15"/>
        <v>0</v>
      </c>
      <c r="L68" s="23">
        <f t="shared" si="16"/>
        <v>0</v>
      </c>
      <c r="M68" s="23">
        <f t="shared" si="17"/>
        <v>0</v>
      </c>
    </row>
    <row r="69" spans="1:13" ht="12.75">
      <c r="A69" s="15">
        <v>16</v>
      </c>
      <c r="B69" s="42"/>
      <c r="D69" s="56"/>
      <c r="E69" s="20"/>
      <c r="F69" s="21"/>
      <c r="G69" s="8"/>
      <c r="I69" s="23">
        <f t="shared" si="13"/>
        <v>0</v>
      </c>
      <c r="J69" s="23">
        <f t="shared" si="14"/>
        <v>0</v>
      </c>
      <c r="K69" s="23">
        <f t="shared" si="15"/>
        <v>0</v>
      </c>
      <c r="L69" s="23">
        <f t="shared" si="16"/>
        <v>0</v>
      </c>
      <c r="M69" s="23">
        <f t="shared" si="17"/>
        <v>0</v>
      </c>
    </row>
    <row r="70" spans="1:13" ht="12.75">
      <c r="A70" s="15">
        <v>17</v>
      </c>
      <c r="D70" s="11"/>
      <c r="E70" s="20"/>
      <c r="F70" s="25"/>
      <c r="G70" s="11"/>
      <c r="I70" s="23">
        <f t="shared" si="13"/>
        <v>0</v>
      </c>
      <c r="J70" s="23">
        <f t="shared" si="14"/>
        <v>0</v>
      </c>
      <c r="K70" s="23">
        <f t="shared" si="15"/>
        <v>0</v>
      </c>
      <c r="L70" s="23">
        <f t="shared" si="16"/>
        <v>0</v>
      </c>
      <c r="M70" s="23">
        <f t="shared" si="17"/>
        <v>0</v>
      </c>
    </row>
    <row r="71" spans="1:13" ht="12.75">
      <c r="A71" s="15">
        <v>18</v>
      </c>
      <c r="D71" s="11"/>
      <c r="E71" s="20"/>
      <c r="F71" s="25"/>
      <c r="G71" s="11"/>
      <c r="I71" s="23">
        <f t="shared" si="13"/>
        <v>0</v>
      </c>
      <c r="J71" s="23">
        <f t="shared" si="14"/>
        <v>0</v>
      </c>
      <c r="K71" s="23">
        <f t="shared" si="15"/>
        <v>0</v>
      </c>
      <c r="L71" s="23">
        <f t="shared" si="16"/>
        <v>0</v>
      </c>
      <c r="M71" s="23">
        <f t="shared" si="17"/>
        <v>0</v>
      </c>
    </row>
    <row r="72" spans="9:13" ht="7.5" customHeight="1">
      <c r="I72" s="22"/>
      <c r="J72" s="22"/>
      <c r="K72" s="22"/>
      <c r="L72" s="22"/>
      <c r="M72" s="22"/>
    </row>
    <row r="73" spans="9:13" ht="12.75">
      <c r="I73" s="24">
        <f>+SUM(I54:I72)</f>
        <v>19.349999999999998</v>
      </c>
      <c r="J73" s="24">
        <f>+SUM(J54:J72)</f>
        <v>4.6</v>
      </c>
      <c r="K73" s="24">
        <f>+SUM(K54:K72)</f>
        <v>1.55</v>
      </c>
      <c r="L73" s="24">
        <f>+SUM(L54:L72)</f>
        <v>0.5</v>
      </c>
      <c r="M73" s="24">
        <f>+SUM(M54:M72)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Light,Bold"&amp;14Ray Berdie&amp;R&amp;"Copperplate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42" t="s">
        <v>449</v>
      </c>
      <c r="C5" s="11" t="s">
        <v>37</v>
      </c>
      <c r="D5" s="56" t="s">
        <v>48</v>
      </c>
      <c r="E5" s="20" t="s">
        <v>441</v>
      </c>
      <c r="F5" s="21">
        <v>17.2</v>
      </c>
      <c r="G5" s="17">
        <v>2018</v>
      </c>
      <c r="I5" s="23">
        <f aca="true" t="shared" si="0" ref="I5:M14">+IF($G5&gt;=I$3,$F5,0)</f>
        <v>17.2</v>
      </c>
      <c r="J5" s="23">
        <f t="shared" si="0"/>
        <v>17.2</v>
      </c>
      <c r="K5" s="23">
        <f t="shared" si="0"/>
        <v>17.2</v>
      </c>
      <c r="L5" s="23">
        <f t="shared" si="0"/>
        <v>17.2</v>
      </c>
      <c r="M5" s="23">
        <f t="shared" si="0"/>
        <v>0</v>
      </c>
    </row>
    <row r="6" spans="1:13" ht="12.75">
      <c r="A6" s="15">
        <v>2</v>
      </c>
      <c r="B6" s="54" t="s">
        <v>341</v>
      </c>
      <c r="C6" s="11" t="s">
        <v>17</v>
      </c>
      <c r="D6" s="11" t="s">
        <v>21</v>
      </c>
      <c r="E6" s="20" t="s">
        <v>437</v>
      </c>
      <c r="F6" s="21">
        <v>16.25</v>
      </c>
      <c r="G6" s="17">
        <v>2018</v>
      </c>
      <c r="I6" s="23">
        <f t="shared" si="0"/>
        <v>16.25</v>
      </c>
      <c r="J6" s="23">
        <f t="shared" si="0"/>
        <v>16.25</v>
      </c>
      <c r="K6" s="23">
        <f t="shared" si="0"/>
        <v>16.25</v>
      </c>
      <c r="L6" s="23">
        <f t="shared" si="0"/>
        <v>16.25</v>
      </c>
      <c r="M6" s="23">
        <f t="shared" si="0"/>
        <v>0</v>
      </c>
    </row>
    <row r="7" spans="1:13" ht="12.75">
      <c r="A7" s="15">
        <v>3</v>
      </c>
      <c r="B7" s="42" t="s">
        <v>446</v>
      </c>
      <c r="C7" s="11" t="s">
        <v>19</v>
      </c>
      <c r="D7" s="11" t="s">
        <v>21</v>
      </c>
      <c r="E7" s="20" t="s">
        <v>441</v>
      </c>
      <c r="F7" s="21">
        <v>15.1</v>
      </c>
      <c r="G7" s="8">
        <v>2018</v>
      </c>
      <c r="I7" s="23">
        <f aca="true" t="shared" si="1" ref="I7:M8">+IF($G7&gt;=I$3,$F7,0)</f>
        <v>15.1</v>
      </c>
      <c r="J7" s="23">
        <f t="shared" si="1"/>
        <v>15.1</v>
      </c>
      <c r="K7" s="23">
        <f t="shared" si="1"/>
        <v>15.1</v>
      </c>
      <c r="L7" s="23">
        <f t="shared" si="1"/>
        <v>15.1</v>
      </c>
      <c r="M7" s="23">
        <f t="shared" si="1"/>
        <v>0</v>
      </c>
    </row>
    <row r="8" spans="1:13" ht="12.75">
      <c r="A8" s="15">
        <v>4</v>
      </c>
      <c r="B8" s="10" t="s">
        <v>342</v>
      </c>
      <c r="C8" s="11" t="s">
        <v>31</v>
      </c>
      <c r="D8" s="11" t="s">
        <v>33</v>
      </c>
      <c r="E8" s="20" t="s">
        <v>437</v>
      </c>
      <c r="F8" s="21">
        <v>12.75</v>
      </c>
      <c r="G8" s="17">
        <v>2018</v>
      </c>
      <c r="I8" s="23">
        <f t="shared" si="1"/>
        <v>12.75</v>
      </c>
      <c r="J8" s="23">
        <f t="shared" si="1"/>
        <v>12.75</v>
      </c>
      <c r="K8" s="23">
        <f t="shared" si="1"/>
        <v>12.75</v>
      </c>
      <c r="L8" s="23">
        <f t="shared" si="1"/>
        <v>12.75</v>
      </c>
      <c r="M8" s="23">
        <f t="shared" si="1"/>
        <v>0</v>
      </c>
    </row>
    <row r="9" spans="1:13" ht="12.75">
      <c r="A9" s="15">
        <v>5</v>
      </c>
      <c r="B9" s="10" t="s">
        <v>339</v>
      </c>
      <c r="C9" s="11" t="s">
        <v>19</v>
      </c>
      <c r="D9" s="11" t="s">
        <v>16</v>
      </c>
      <c r="E9" s="20" t="s">
        <v>437</v>
      </c>
      <c r="F9" s="25">
        <v>8.75</v>
      </c>
      <c r="G9" s="11">
        <v>2018</v>
      </c>
      <c r="I9" s="23">
        <f t="shared" si="0"/>
        <v>8.75</v>
      </c>
      <c r="J9" s="23">
        <f t="shared" si="0"/>
        <v>8.75</v>
      </c>
      <c r="K9" s="23">
        <f t="shared" si="0"/>
        <v>8.75</v>
      </c>
      <c r="L9" s="23">
        <f t="shared" si="0"/>
        <v>8.75</v>
      </c>
      <c r="M9" s="23">
        <f t="shared" si="0"/>
        <v>0</v>
      </c>
    </row>
    <row r="10" spans="1:13" ht="12.75">
      <c r="A10" s="15">
        <v>6</v>
      </c>
      <c r="B10" s="42" t="s">
        <v>509</v>
      </c>
      <c r="C10" s="11" t="s">
        <v>18</v>
      </c>
      <c r="D10" s="11" t="s">
        <v>25</v>
      </c>
      <c r="E10" s="20" t="s">
        <v>441</v>
      </c>
      <c r="F10" s="21">
        <v>6.25</v>
      </c>
      <c r="G10" s="9">
        <v>2018</v>
      </c>
      <c r="I10" s="23">
        <f t="shared" si="0"/>
        <v>6.25</v>
      </c>
      <c r="J10" s="23">
        <f t="shared" si="0"/>
        <v>6.25</v>
      </c>
      <c r="K10" s="23">
        <f t="shared" si="0"/>
        <v>6.25</v>
      </c>
      <c r="L10" s="23">
        <f t="shared" si="0"/>
        <v>6.25</v>
      </c>
      <c r="M10" s="23">
        <f t="shared" si="0"/>
        <v>0</v>
      </c>
    </row>
    <row r="11" spans="1:13" ht="12.75">
      <c r="A11" s="15">
        <v>7</v>
      </c>
      <c r="B11" s="49" t="s">
        <v>387</v>
      </c>
      <c r="C11" s="11" t="s">
        <v>17</v>
      </c>
      <c r="D11" s="11" t="s">
        <v>16</v>
      </c>
      <c r="E11" s="20" t="s">
        <v>437</v>
      </c>
      <c r="F11" s="21">
        <v>2.3</v>
      </c>
      <c r="G11" s="17">
        <v>2018</v>
      </c>
      <c r="I11" s="23">
        <f t="shared" si="0"/>
        <v>2.3</v>
      </c>
      <c r="J11" s="23">
        <f t="shared" si="0"/>
        <v>2.3</v>
      </c>
      <c r="K11" s="23">
        <f t="shared" si="0"/>
        <v>2.3</v>
      </c>
      <c r="L11" s="23">
        <f t="shared" si="0"/>
        <v>2.3</v>
      </c>
      <c r="M11" s="23">
        <f t="shared" si="0"/>
        <v>0</v>
      </c>
    </row>
    <row r="12" spans="1:13" ht="12.75">
      <c r="A12" s="15">
        <v>8</v>
      </c>
      <c r="B12" s="42" t="s">
        <v>265</v>
      </c>
      <c r="C12" s="11" t="s">
        <v>15</v>
      </c>
      <c r="D12" s="11" t="s">
        <v>43</v>
      </c>
      <c r="E12" s="20" t="s">
        <v>47</v>
      </c>
      <c r="F12" s="21">
        <v>10</v>
      </c>
      <c r="G12" s="8">
        <v>2017</v>
      </c>
      <c r="I12" s="23">
        <f t="shared" si="0"/>
        <v>10</v>
      </c>
      <c r="J12" s="23">
        <f t="shared" si="0"/>
        <v>10</v>
      </c>
      <c r="K12" s="23">
        <f t="shared" si="0"/>
        <v>10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42" t="s">
        <v>264</v>
      </c>
      <c r="C13" s="11" t="s">
        <v>19</v>
      </c>
      <c r="D13" s="11" t="s">
        <v>28</v>
      </c>
      <c r="E13" s="20" t="s">
        <v>47</v>
      </c>
      <c r="F13" s="21">
        <v>6.3</v>
      </c>
      <c r="G13" s="8">
        <v>2017</v>
      </c>
      <c r="I13" s="23">
        <f t="shared" si="0"/>
        <v>6.3</v>
      </c>
      <c r="J13" s="23">
        <f t="shared" si="0"/>
        <v>6.3</v>
      </c>
      <c r="K13" s="23">
        <f t="shared" si="0"/>
        <v>6.3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49" t="s">
        <v>389</v>
      </c>
      <c r="C14" s="11" t="s">
        <v>17</v>
      </c>
      <c r="D14" s="11" t="s">
        <v>35</v>
      </c>
      <c r="E14" s="20" t="s">
        <v>47</v>
      </c>
      <c r="F14" s="21">
        <v>6</v>
      </c>
      <c r="G14" s="8">
        <v>2017</v>
      </c>
      <c r="I14" s="23">
        <f t="shared" si="0"/>
        <v>6</v>
      </c>
      <c r="J14" s="23">
        <f t="shared" si="0"/>
        <v>6</v>
      </c>
      <c r="K14" s="23">
        <f t="shared" si="0"/>
        <v>6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54" t="s">
        <v>197</v>
      </c>
      <c r="C15" s="11" t="s">
        <v>19</v>
      </c>
      <c r="D15" s="11" t="s">
        <v>24</v>
      </c>
      <c r="E15" s="20" t="s">
        <v>47</v>
      </c>
      <c r="F15" s="21">
        <v>1.55</v>
      </c>
      <c r="G15" s="17">
        <v>2017</v>
      </c>
      <c r="I15" s="23">
        <f aca="true" t="shared" si="2" ref="I15:M24">+IF($G15&gt;=I$3,$F15,0)</f>
        <v>1.55</v>
      </c>
      <c r="J15" s="23">
        <f t="shared" si="2"/>
        <v>1.55</v>
      </c>
      <c r="K15" s="23">
        <f t="shared" si="2"/>
        <v>1.55</v>
      </c>
      <c r="L15" s="23">
        <f t="shared" si="2"/>
        <v>0</v>
      </c>
      <c r="M15" s="23">
        <f t="shared" si="2"/>
        <v>0</v>
      </c>
    </row>
    <row r="16" spans="1:13" ht="12.75">
      <c r="A16" s="15">
        <v>12</v>
      </c>
      <c r="B16" s="55" t="s">
        <v>224</v>
      </c>
      <c r="C16" s="11" t="s">
        <v>19</v>
      </c>
      <c r="D16" s="56" t="s">
        <v>48</v>
      </c>
      <c r="E16" s="20" t="s">
        <v>47</v>
      </c>
      <c r="F16" s="21">
        <v>6.7</v>
      </c>
      <c r="G16" s="8">
        <v>2016</v>
      </c>
      <c r="I16" s="23">
        <f t="shared" si="2"/>
        <v>6.7</v>
      </c>
      <c r="J16" s="23">
        <f t="shared" si="2"/>
        <v>6.7</v>
      </c>
      <c r="K16" s="23">
        <f t="shared" si="2"/>
        <v>0</v>
      </c>
      <c r="L16" s="23">
        <f t="shared" si="2"/>
        <v>0</v>
      </c>
      <c r="M16" s="23">
        <f t="shared" si="2"/>
        <v>0</v>
      </c>
    </row>
    <row r="17" spans="1:13" ht="12.75">
      <c r="A17" s="15">
        <v>13</v>
      </c>
      <c r="B17" s="35" t="s">
        <v>307</v>
      </c>
      <c r="C17" s="11" t="s">
        <v>15</v>
      </c>
      <c r="D17" s="56" t="s">
        <v>44</v>
      </c>
      <c r="E17" s="20" t="s">
        <v>47</v>
      </c>
      <c r="F17" s="21">
        <v>5.8</v>
      </c>
      <c r="G17" s="8">
        <v>2016</v>
      </c>
      <c r="I17" s="23">
        <f t="shared" si="2"/>
        <v>5.8</v>
      </c>
      <c r="J17" s="23">
        <f t="shared" si="2"/>
        <v>5.8</v>
      </c>
      <c r="K17" s="23">
        <f t="shared" si="2"/>
        <v>0</v>
      </c>
      <c r="L17" s="23">
        <f t="shared" si="2"/>
        <v>0</v>
      </c>
      <c r="M17" s="23">
        <f t="shared" si="2"/>
        <v>0</v>
      </c>
    </row>
    <row r="18" spans="1:13" ht="12.75">
      <c r="A18" s="15">
        <v>14</v>
      </c>
      <c r="B18" s="49" t="s">
        <v>388</v>
      </c>
      <c r="C18" s="11" t="s">
        <v>40</v>
      </c>
      <c r="D18" s="56" t="s">
        <v>20</v>
      </c>
      <c r="E18" s="20" t="s">
        <v>47</v>
      </c>
      <c r="F18" s="21">
        <v>4.25</v>
      </c>
      <c r="G18" s="17">
        <v>2016</v>
      </c>
      <c r="I18" s="23">
        <f t="shared" si="2"/>
        <v>4.25</v>
      </c>
      <c r="J18" s="23">
        <f t="shared" si="2"/>
        <v>4.25</v>
      </c>
      <c r="K18" s="23">
        <f t="shared" si="2"/>
        <v>0</v>
      </c>
      <c r="L18" s="23">
        <f t="shared" si="2"/>
        <v>0</v>
      </c>
      <c r="M18" s="23">
        <f t="shared" si="2"/>
        <v>0</v>
      </c>
    </row>
    <row r="19" spans="1:13" ht="12.75">
      <c r="A19" s="15">
        <v>15</v>
      </c>
      <c r="B19" s="55" t="s">
        <v>225</v>
      </c>
      <c r="C19" s="11" t="s">
        <v>37</v>
      </c>
      <c r="D19" s="56" t="s">
        <v>438</v>
      </c>
      <c r="E19" s="20" t="s">
        <v>47</v>
      </c>
      <c r="F19" s="21">
        <v>2.65</v>
      </c>
      <c r="G19" s="8">
        <v>2016</v>
      </c>
      <c r="I19" s="23">
        <f t="shared" si="2"/>
        <v>2.65</v>
      </c>
      <c r="J19" s="23">
        <f t="shared" si="2"/>
        <v>2.65</v>
      </c>
      <c r="K19" s="23">
        <f t="shared" si="2"/>
        <v>0</v>
      </c>
      <c r="L19" s="23">
        <f t="shared" si="2"/>
        <v>0</v>
      </c>
      <c r="M19" s="23">
        <f t="shared" si="2"/>
        <v>0</v>
      </c>
    </row>
    <row r="20" spans="1:13" ht="12.75">
      <c r="A20" s="15">
        <v>16</v>
      </c>
      <c r="B20" s="55" t="s">
        <v>112</v>
      </c>
      <c r="C20" s="11" t="s">
        <v>40</v>
      </c>
      <c r="D20" s="11" t="s">
        <v>27</v>
      </c>
      <c r="E20" s="20" t="s">
        <v>47</v>
      </c>
      <c r="F20" s="21">
        <v>9.2</v>
      </c>
      <c r="G20" s="8">
        <v>2015</v>
      </c>
      <c r="I20" s="23">
        <f t="shared" si="2"/>
        <v>9.2</v>
      </c>
      <c r="J20" s="23">
        <f t="shared" si="2"/>
        <v>0</v>
      </c>
      <c r="K20" s="23">
        <f t="shared" si="2"/>
        <v>0</v>
      </c>
      <c r="L20" s="23">
        <f t="shared" si="2"/>
        <v>0</v>
      </c>
      <c r="M20" s="23">
        <f t="shared" si="2"/>
        <v>0</v>
      </c>
    </row>
    <row r="21" spans="1:13" ht="12.75">
      <c r="A21" s="15">
        <v>17</v>
      </c>
      <c r="B21" s="55" t="s">
        <v>526</v>
      </c>
      <c r="C21" s="11" t="s">
        <v>17</v>
      </c>
      <c r="D21" s="56" t="s">
        <v>88</v>
      </c>
      <c r="E21" s="20" t="s">
        <v>441</v>
      </c>
      <c r="F21" s="21">
        <v>7</v>
      </c>
      <c r="G21" s="8">
        <v>2015</v>
      </c>
      <c r="I21" s="23">
        <f t="shared" si="2"/>
        <v>7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23">
        <f t="shared" si="2"/>
        <v>0</v>
      </c>
    </row>
    <row r="22" spans="1:13" ht="12.75">
      <c r="A22" s="15">
        <v>18</v>
      </c>
      <c r="B22" s="89" t="s">
        <v>548</v>
      </c>
      <c r="C22" s="56" t="s">
        <v>18</v>
      </c>
      <c r="D22" s="56" t="s">
        <v>32</v>
      </c>
      <c r="E22" s="20" t="s">
        <v>441</v>
      </c>
      <c r="F22" s="21">
        <v>3.2</v>
      </c>
      <c r="G22" s="8">
        <v>2015</v>
      </c>
      <c r="I22" s="23">
        <f t="shared" si="2"/>
        <v>3.2</v>
      </c>
      <c r="J22" s="23">
        <f t="shared" si="2"/>
        <v>0</v>
      </c>
      <c r="K22" s="23">
        <f t="shared" si="2"/>
        <v>0</v>
      </c>
      <c r="L22" s="23">
        <f t="shared" si="2"/>
        <v>0</v>
      </c>
      <c r="M22" s="23">
        <f t="shared" si="2"/>
        <v>0</v>
      </c>
    </row>
    <row r="23" spans="1:13" ht="12.75">
      <c r="A23" s="15">
        <v>19</v>
      </c>
      <c r="B23" s="10" t="s">
        <v>634</v>
      </c>
      <c r="C23" s="11" t="s">
        <v>17</v>
      </c>
      <c r="D23" s="56" t="s">
        <v>39</v>
      </c>
      <c r="E23" s="20" t="s">
        <v>594</v>
      </c>
      <c r="F23" s="21">
        <v>1.7</v>
      </c>
      <c r="G23" s="8">
        <v>2015</v>
      </c>
      <c r="I23" s="23">
        <f t="shared" si="2"/>
        <v>1.7</v>
      </c>
      <c r="J23" s="23">
        <f t="shared" si="2"/>
        <v>0</v>
      </c>
      <c r="K23" s="23">
        <f t="shared" si="2"/>
        <v>0</v>
      </c>
      <c r="L23" s="23">
        <f t="shared" si="2"/>
        <v>0</v>
      </c>
      <c r="M23" s="23">
        <f t="shared" si="2"/>
        <v>0</v>
      </c>
    </row>
    <row r="24" spans="1:13" ht="12.75">
      <c r="A24" s="15">
        <v>20</v>
      </c>
      <c r="B24" s="54" t="s">
        <v>635</v>
      </c>
      <c r="C24" s="56" t="s">
        <v>37</v>
      </c>
      <c r="D24" s="56" t="s">
        <v>28</v>
      </c>
      <c r="E24" s="20" t="s">
        <v>594</v>
      </c>
      <c r="F24" s="21">
        <v>1.7</v>
      </c>
      <c r="G24" s="8">
        <v>2015</v>
      </c>
      <c r="I24" s="23">
        <f t="shared" si="2"/>
        <v>1.7</v>
      </c>
      <c r="J24" s="23">
        <f t="shared" si="2"/>
        <v>0</v>
      </c>
      <c r="K24" s="23">
        <f t="shared" si="2"/>
        <v>0</v>
      </c>
      <c r="L24" s="23">
        <f t="shared" si="2"/>
        <v>0</v>
      </c>
      <c r="M24" s="23">
        <f t="shared" si="2"/>
        <v>0</v>
      </c>
    </row>
    <row r="25" spans="1:13" ht="12.75">
      <c r="A25" s="15">
        <v>21</v>
      </c>
      <c r="B25" s="54" t="s">
        <v>636</v>
      </c>
      <c r="C25" s="56" t="s">
        <v>26</v>
      </c>
      <c r="D25" s="56" t="s">
        <v>33</v>
      </c>
      <c r="E25" s="20" t="s">
        <v>594</v>
      </c>
      <c r="F25" s="21">
        <v>1.7</v>
      </c>
      <c r="G25" s="8">
        <v>2015</v>
      </c>
      <c r="I25" s="23">
        <f aca="true" t="shared" si="3" ref="I25:M32">+IF($G25&gt;=I$3,$F25,0)</f>
        <v>1.7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3"/>
        <v>0</v>
      </c>
    </row>
    <row r="26" spans="1:13" ht="12.75">
      <c r="A26" s="15">
        <v>22</v>
      </c>
      <c r="B26" s="54" t="s">
        <v>155</v>
      </c>
      <c r="C26" s="11" t="s">
        <v>17</v>
      </c>
      <c r="D26" s="56" t="s">
        <v>33</v>
      </c>
      <c r="E26" s="20" t="s">
        <v>594</v>
      </c>
      <c r="F26" s="21">
        <v>1.7</v>
      </c>
      <c r="G26" s="8">
        <v>2015</v>
      </c>
      <c r="I26" s="23">
        <f t="shared" si="3"/>
        <v>1.7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3">
        <f t="shared" si="3"/>
        <v>0</v>
      </c>
    </row>
    <row r="27" spans="1:13" ht="12.75">
      <c r="A27" s="15">
        <v>23</v>
      </c>
      <c r="B27" s="10" t="s">
        <v>637</v>
      </c>
      <c r="C27" s="11" t="s">
        <v>15</v>
      </c>
      <c r="D27" s="11" t="s">
        <v>48</v>
      </c>
      <c r="E27" s="20" t="s">
        <v>594</v>
      </c>
      <c r="F27" s="21">
        <v>1.7</v>
      </c>
      <c r="G27" s="8">
        <v>2015</v>
      </c>
      <c r="I27" s="23">
        <f t="shared" si="3"/>
        <v>1.7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3">
        <f t="shared" si="3"/>
        <v>0</v>
      </c>
    </row>
    <row r="28" spans="1:13" ht="12.75">
      <c r="A28" s="15">
        <v>24</v>
      </c>
      <c r="B28" s="42" t="s">
        <v>638</v>
      </c>
      <c r="C28" s="11" t="s">
        <v>37</v>
      </c>
      <c r="D28" s="11" t="s">
        <v>38</v>
      </c>
      <c r="E28" s="20" t="s">
        <v>594</v>
      </c>
      <c r="F28" s="21">
        <v>1.7</v>
      </c>
      <c r="G28" s="8">
        <v>2015</v>
      </c>
      <c r="I28" s="23">
        <f t="shared" si="3"/>
        <v>1.7</v>
      </c>
      <c r="J28" s="23">
        <f t="shared" si="3"/>
        <v>0</v>
      </c>
      <c r="K28" s="23">
        <f t="shared" si="3"/>
        <v>0</v>
      </c>
      <c r="L28" s="23">
        <f t="shared" si="3"/>
        <v>0</v>
      </c>
      <c r="M28" s="23">
        <f t="shared" si="3"/>
        <v>0</v>
      </c>
    </row>
    <row r="29" spans="1:13" ht="12.75">
      <c r="A29" s="15">
        <v>25</v>
      </c>
      <c r="B29" s="42" t="s">
        <v>639</v>
      </c>
      <c r="C29" s="11" t="s">
        <v>37</v>
      </c>
      <c r="D29" s="11" t="s">
        <v>34</v>
      </c>
      <c r="E29" s="20" t="s">
        <v>594</v>
      </c>
      <c r="F29" s="21">
        <v>1.7</v>
      </c>
      <c r="G29" s="8">
        <v>2015</v>
      </c>
      <c r="I29" s="23">
        <f t="shared" si="3"/>
        <v>1.7</v>
      </c>
      <c r="J29" s="23">
        <f t="shared" si="3"/>
        <v>0</v>
      </c>
      <c r="K29" s="23">
        <f t="shared" si="3"/>
        <v>0</v>
      </c>
      <c r="L29" s="23">
        <f t="shared" si="3"/>
        <v>0</v>
      </c>
      <c r="M29" s="23">
        <f t="shared" si="3"/>
        <v>0</v>
      </c>
    </row>
    <row r="30" spans="1:13" ht="12.75">
      <c r="A30" s="15">
        <v>26</v>
      </c>
      <c r="B30" s="42" t="s">
        <v>689</v>
      </c>
      <c r="C30" s="11" t="s">
        <v>17</v>
      </c>
      <c r="D30" s="11" t="s">
        <v>690</v>
      </c>
      <c r="E30" s="20" t="s">
        <v>594</v>
      </c>
      <c r="F30" s="21">
        <v>1.7</v>
      </c>
      <c r="G30" s="8">
        <v>2015</v>
      </c>
      <c r="I30" s="23">
        <f t="shared" si="3"/>
        <v>1.7</v>
      </c>
      <c r="J30" s="23">
        <f t="shared" si="3"/>
        <v>0</v>
      </c>
      <c r="K30" s="23">
        <f t="shared" si="3"/>
        <v>0</v>
      </c>
      <c r="L30" s="23">
        <f t="shared" si="3"/>
        <v>0</v>
      </c>
      <c r="M30" s="23">
        <f t="shared" si="3"/>
        <v>0</v>
      </c>
    </row>
    <row r="31" spans="1:13" ht="12.75">
      <c r="A31" s="15">
        <v>27</v>
      </c>
      <c r="B31" s="54" t="s">
        <v>654</v>
      </c>
      <c r="C31" s="11" t="s">
        <v>17</v>
      </c>
      <c r="D31" s="56" t="s">
        <v>27</v>
      </c>
      <c r="E31" s="11" t="s">
        <v>594</v>
      </c>
      <c r="F31" s="16">
        <v>1.7</v>
      </c>
      <c r="G31" s="17">
        <v>2015</v>
      </c>
      <c r="I31" s="23">
        <f t="shared" si="3"/>
        <v>1.7</v>
      </c>
      <c r="J31" s="23">
        <f t="shared" si="3"/>
        <v>0</v>
      </c>
      <c r="K31" s="23">
        <f t="shared" si="3"/>
        <v>0</v>
      </c>
      <c r="L31" s="23">
        <f t="shared" si="3"/>
        <v>0</v>
      </c>
      <c r="M31" s="23">
        <f t="shared" si="3"/>
        <v>0</v>
      </c>
    </row>
    <row r="32" spans="1:13" ht="12.75">
      <c r="A32" s="15">
        <v>28</v>
      </c>
      <c r="B32" s="54" t="s">
        <v>662</v>
      </c>
      <c r="C32" s="11" t="s">
        <v>17</v>
      </c>
      <c r="D32" s="11" t="s">
        <v>51</v>
      </c>
      <c r="E32" s="20" t="s">
        <v>594</v>
      </c>
      <c r="F32" s="21">
        <v>1.7</v>
      </c>
      <c r="G32" s="8">
        <v>2015</v>
      </c>
      <c r="I32" s="23">
        <f t="shared" si="3"/>
        <v>1.7</v>
      </c>
      <c r="J32" s="23">
        <f t="shared" si="3"/>
        <v>0</v>
      </c>
      <c r="K32" s="23">
        <f t="shared" si="3"/>
        <v>0</v>
      </c>
      <c r="L32" s="23">
        <f t="shared" si="3"/>
        <v>0</v>
      </c>
      <c r="M32" s="23">
        <f t="shared" si="3"/>
        <v>0</v>
      </c>
    </row>
    <row r="33" spans="9:13" ht="7.5" customHeight="1">
      <c r="I33" s="22"/>
      <c r="J33" s="22"/>
      <c r="K33" s="22"/>
      <c r="L33" s="22"/>
      <c r="M33" s="22"/>
    </row>
    <row r="34" spans="9:13" ht="12.75">
      <c r="I34" s="24">
        <f>+SUM(I5:I32)</f>
        <v>158.2499999999999</v>
      </c>
      <c r="J34" s="24">
        <f>+SUM(J5:J32)</f>
        <v>121.85000000000001</v>
      </c>
      <c r="K34" s="24">
        <f>+SUM(K5:K32)</f>
        <v>102.45</v>
      </c>
      <c r="L34" s="24">
        <f>+SUM(L5:L32)</f>
        <v>78.60000000000001</v>
      </c>
      <c r="M34" s="24">
        <f>+SUM(M5:M32)</f>
        <v>0</v>
      </c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2015</v>
      </c>
      <c r="J38" s="14">
        <f>+J$3</f>
        <v>2016</v>
      </c>
      <c r="K38" s="14">
        <f>+K$3</f>
        <v>2017</v>
      </c>
      <c r="L38" s="14">
        <f>+L$3</f>
        <v>2018</v>
      </c>
      <c r="M38" s="14">
        <f>+M$3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30"/>
      <c r="D40" s="11"/>
      <c r="E40" s="20"/>
      <c r="F40" s="21"/>
      <c r="G40" s="8"/>
      <c r="I40" s="23">
        <f aca="true" t="shared" si="4" ref="I40:I46">+CEILING(IF($I$38&lt;=G40,F40*0.3,0),0.05)</f>
        <v>0</v>
      </c>
      <c r="J40" s="23">
        <f aca="true" t="shared" si="5" ref="J40:J46">+CEILING(IF($J$38&lt;=G40,F40*0.3,0),0.05)</f>
        <v>0</v>
      </c>
      <c r="K40" s="23">
        <f aca="true" t="shared" si="6" ref="K40:K46">+CEILING(IF($K$38&lt;=G40,F40*0.3,0),0.05)</f>
        <v>0</v>
      </c>
      <c r="L40" s="23">
        <f aca="true" t="shared" si="7" ref="L40:L46">+CEILING(IF($L$38&lt;=G40,F40*0.3,0),0.05)</f>
        <v>0</v>
      </c>
      <c r="M40" s="23">
        <f aca="true" t="shared" si="8" ref="M40:M46">+CEILING(IF($M$38&lt;=G40,F40*0.3,0),0.05)</f>
        <v>0</v>
      </c>
    </row>
    <row r="41" spans="1:13" ht="12.75">
      <c r="A41" s="15">
        <v>2</v>
      </c>
      <c r="B41" s="30"/>
      <c r="D41" s="11"/>
      <c r="E41" s="20"/>
      <c r="F41" s="21"/>
      <c r="G41" s="8"/>
      <c r="I41" s="23">
        <f t="shared" si="4"/>
        <v>0</v>
      </c>
      <c r="J41" s="23">
        <f t="shared" si="5"/>
        <v>0</v>
      </c>
      <c r="K41" s="23">
        <f t="shared" si="6"/>
        <v>0</v>
      </c>
      <c r="L41" s="23">
        <f t="shared" si="7"/>
        <v>0</v>
      </c>
      <c r="M41" s="23">
        <f t="shared" si="8"/>
        <v>0</v>
      </c>
    </row>
    <row r="42" spans="1:13" ht="12.75">
      <c r="A42" s="15">
        <v>3</v>
      </c>
      <c r="B42" s="30"/>
      <c r="D42" s="11"/>
      <c r="E42" s="11"/>
      <c r="F42" s="23"/>
      <c r="G42" s="20"/>
      <c r="I42" s="23">
        <f t="shared" si="4"/>
        <v>0</v>
      </c>
      <c r="J42" s="23">
        <f t="shared" si="5"/>
        <v>0</v>
      </c>
      <c r="K42" s="23">
        <f t="shared" si="6"/>
        <v>0</v>
      </c>
      <c r="L42" s="23">
        <f t="shared" si="7"/>
        <v>0</v>
      </c>
      <c r="M42" s="23">
        <f t="shared" si="8"/>
        <v>0</v>
      </c>
    </row>
    <row r="43" spans="1:13" ht="12.75">
      <c r="A43" s="15">
        <v>4</v>
      </c>
      <c r="B43" s="30"/>
      <c r="D43" s="11"/>
      <c r="E43" s="11"/>
      <c r="F43" s="23"/>
      <c r="G43" s="20"/>
      <c r="I43" s="23">
        <f t="shared" si="4"/>
        <v>0</v>
      </c>
      <c r="J43" s="23">
        <f t="shared" si="5"/>
        <v>0</v>
      </c>
      <c r="K43" s="23">
        <f t="shared" si="6"/>
        <v>0</v>
      </c>
      <c r="L43" s="23">
        <f t="shared" si="7"/>
        <v>0</v>
      </c>
      <c r="M43" s="23">
        <f t="shared" si="8"/>
        <v>0</v>
      </c>
    </row>
    <row r="44" spans="1:13" ht="12.75">
      <c r="A44" s="15">
        <v>5</v>
      </c>
      <c r="B44" s="30"/>
      <c r="D44" s="11"/>
      <c r="E44" s="11"/>
      <c r="F44" s="23"/>
      <c r="G44" s="20"/>
      <c r="I44" s="23">
        <f t="shared" si="4"/>
        <v>0</v>
      </c>
      <c r="J44" s="23">
        <f t="shared" si="5"/>
        <v>0</v>
      </c>
      <c r="K44" s="23">
        <f t="shared" si="6"/>
        <v>0</v>
      </c>
      <c r="L44" s="23">
        <f t="shared" si="7"/>
        <v>0</v>
      </c>
      <c r="M44" s="23">
        <f t="shared" si="8"/>
        <v>0</v>
      </c>
    </row>
    <row r="45" spans="1:13" ht="12.75">
      <c r="A45" s="15">
        <v>6</v>
      </c>
      <c r="B45" s="42"/>
      <c r="D45" s="11"/>
      <c r="E45" s="20"/>
      <c r="F45" s="21"/>
      <c r="G45" s="8"/>
      <c r="I45" s="23">
        <f t="shared" si="4"/>
        <v>0</v>
      </c>
      <c r="J45" s="23">
        <f t="shared" si="5"/>
        <v>0</v>
      </c>
      <c r="K45" s="23">
        <f t="shared" si="6"/>
        <v>0</v>
      </c>
      <c r="L45" s="23">
        <f t="shared" si="7"/>
        <v>0</v>
      </c>
      <c r="M45" s="23">
        <f t="shared" si="8"/>
        <v>0</v>
      </c>
    </row>
    <row r="46" spans="1:13" ht="12.75">
      <c r="A46" s="15" t="s">
        <v>76</v>
      </c>
      <c r="B46" s="30"/>
      <c r="C46" s="31" t="s">
        <v>84</v>
      </c>
      <c r="D46" s="31" t="s">
        <v>84</v>
      </c>
      <c r="E46" s="37" t="s">
        <v>84</v>
      </c>
      <c r="F46" s="23"/>
      <c r="G46" s="20"/>
      <c r="I46" s="23">
        <f t="shared" si="4"/>
        <v>0</v>
      </c>
      <c r="J46" s="23">
        <f t="shared" si="5"/>
        <v>0</v>
      </c>
      <c r="K46" s="23">
        <f t="shared" si="6"/>
        <v>0</v>
      </c>
      <c r="L46" s="23">
        <f t="shared" si="7"/>
        <v>0</v>
      </c>
      <c r="M46" s="23">
        <f t="shared" si="8"/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0</v>
      </c>
      <c r="J48" s="19">
        <f>+SUM(J40:J47)</f>
        <v>0</v>
      </c>
      <c r="K48" s="19">
        <f>+SUM(K40:K47)</f>
        <v>0</v>
      </c>
      <c r="L48" s="19">
        <f>+SUM(L40:L47)</f>
        <v>0</v>
      </c>
      <c r="M48" s="19">
        <f>+SUM(M40:M47)</f>
        <v>0</v>
      </c>
    </row>
    <row r="49" spans="1:13" ht="12.75">
      <c r="A49" s="15"/>
      <c r="I49" s="19"/>
      <c r="J49" s="19"/>
      <c r="K49" s="19"/>
      <c r="L49" s="19"/>
      <c r="M49" s="19"/>
    </row>
    <row r="50" spans="1:13" ht="15.75">
      <c r="A50" s="140" t="s">
        <v>49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2015</v>
      </c>
      <c r="J52" s="14">
        <f>+J$3</f>
        <v>2016</v>
      </c>
      <c r="K52" s="14">
        <f>+K$3</f>
        <v>2017</v>
      </c>
      <c r="L52" s="14">
        <f>+L$3</f>
        <v>2018</v>
      </c>
      <c r="M52" s="14">
        <f>+M$3</f>
        <v>2019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10" t="s">
        <v>340</v>
      </c>
      <c r="C54" s="11" t="s">
        <v>18</v>
      </c>
      <c r="D54" s="56" t="s">
        <v>24</v>
      </c>
      <c r="E54" s="20">
        <v>2015</v>
      </c>
      <c r="F54" s="16">
        <v>1.55</v>
      </c>
      <c r="G54" s="17">
        <v>2016</v>
      </c>
      <c r="I54" s="23">
        <f aca="true" t="shared" si="9" ref="I54:I63">+CEILING(IF($I$52=E54,F54,IF($I$52&lt;=G54,F54*0.3,0)),0.05)</f>
        <v>1.55</v>
      </c>
      <c r="J54" s="23">
        <f aca="true" t="shared" si="10" ref="J54:J63">+CEILING(IF($J$52&lt;=G54,F54*0.3,0),0.05)</f>
        <v>0.5</v>
      </c>
      <c r="K54" s="23">
        <f aca="true" t="shared" si="11" ref="K54:K63">+CEILING(IF($K$52&lt;=G54,F54*0.3,0),0.05)</f>
        <v>0</v>
      </c>
      <c r="L54" s="23">
        <f aca="true" t="shared" si="12" ref="L54:L63">+CEILING(IF($L$52&lt;=G54,F54*0.3,0),0.05)</f>
        <v>0</v>
      </c>
      <c r="M54" s="23">
        <f aca="true" t="shared" si="13" ref="M54:M63">CEILING(IF($M$52&lt;=G54,F54*0.3,0),0.05)</f>
        <v>0</v>
      </c>
    </row>
    <row r="55" spans="1:13" ht="12.75">
      <c r="A55" s="15">
        <v>2</v>
      </c>
      <c r="B55" s="54" t="s">
        <v>183</v>
      </c>
      <c r="C55" s="11" t="s">
        <v>15</v>
      </c>
      <c r="D55" s="11" t="s">
        <v>36</v>
      </c>
      <c r="E55" s="20">
        <v>2014</v>
      </c>
      <c r="F55" s="21">
        <v>5.65</v>
      </c>
      <c r="G55" s="8">
        <v>2015</v>
      </c>
      <c r="I55" s="23">
        <f t="shared" si="9"/>
        <v>1.7000000000000002</v>
      </c>
      <c r="J55" s="23">
        <f t="shared" si="10"/>
        <v>0</v>
      </c>
      <c r="K55" s="23">
        <f t="shared" si="11"/>
        <v>0</v>
      </c>
      <c r="L55" s="23">
        <f t="shared" si="12"/>
        <v>0</v>
      </c>
      <c r="M55" s="23">
        <f t="shared" si="13"/>
        <v>0</v>
      </c>
    </row>
    <row r="56" spans="1:13" ht="12.75">
      <c r="A56" s="15">
        <v>3</v>
      </c>
      <c r="B56" s="42" t="s">
        <v>165</v>
      </c>
      <c r="C56" s="11" t="s">
        <v>31</v>
      </c>
      <c r="D56" s="11" t="s">
        <v>48</v>
      </c>
      <c r="E56" s="20">
        <v>2015</v>
      </c>
      <c r="F56" s="21">
        <v>1.7</v>
      </c>
      <c r="G56" s="8">
        <v>2015</v>
      </c>
      <c r="I56" s="23">
        <f t="shared" si="9"/>
        <v>1.7000000000000002</v>
      </c>
      <c r="J56" s="23">
        <f t="shared" si="10"/>
        <v>0</v>
      </c>
      <c r="K56" s="23">
        <f t="shared" si="11"/>
        <v>0</v>
      </c>
      <c r="L56" s="23">
        <f t="shared" si="12"/>
        <v>0</v>
      </c>
      <c r="M56" s="23">
        <f t="shared" si="13"/>
        <v>0</v>
      </c>
    </row>
    <row r="57" spans="1:13" ht="12.75">
      <c r="A57" s="15">
        <v>4</v>
      </c>
      <c r="B57" s="10" t="s">
        <v>229</v>
      </c>
      <c r="C57" s="11" t="s">
        <v>19</v>
      </c>
      <c r="D57" s="11" t="s">
        <v>27</v>
      </c>
      <c r="E57" s="20">
        <v>2015</v>
      </c>
      <c r="F57" s="21">
        <v>1.7</v>
      </c>
      <c r="G57" s="8">
        <v>2015</v>
      </c>
      <c r="I57" s="23">
        <f t="shared" si="9"/>
        <v>1.7000000000000002</v>
      </c>
      <c r="J57" s="23">
        <f t="shared" si="10"/>
        <v>0</v>
      </c>
      <c r="K57" s="23">
        <f t="shared" si="11"/>
        <v>0</v>
      </c>
      <c r="L57" s="23">
        <f t="shared" si="12"/>
        <v>0</v>
      </c>
      <c r="M57" s="23">
        <f t="shared" si="13"/>
        <v>0</v>
      </c>
    </row>
    <row r="58" spans="1:13" ht="12.75">
      <c r="A58" s="15">
        <v>5</v>
      </c>
      <c r="B58" s="30"/>
      <c r="D58" s="11"/>
      <c r="E58" s="20"/>
      <c r="F58" s="21"/>
      <c r="G58" s="8"/>
      <c r="I58" s="23">
        <f t="shared" si="9"/>
        <v>0</v>
      </c>
      <c r="J58" s="23">
        <f t="shared" si="10"/>
        <v>0</v>
      </c>
      <c r="K58" s="23">
        <f t="shared" si="11"/>
        <v>0</v>
      </c>
      <c r="L58" s="23">
        <f t="shared" si="12"/>
        <v>0</v>
      </c>
      <c r="M58" s="23">
        <f t="shared" si="13"/>
        <v>0</v>
      </c>
    </row>
    <row r="59" spans="1:13" ht="12.75">
      <c r="A59" s="15">
        <v>6</v>
      </c>
      <c r="B59" s="30"/>
      <c r="D59" s="31"/>
      <c r="E59" s="20"/>
      <c r="F59" s="21"/>
      <c r="G59" s="8"/>
      <c r="I59" s="23">
        <f t="shared" si="9"/>
        <v>0</v>
      </c>
      <c r="J59" s="23">
        <f t="shared" si="10"/>
        <v>0</v>
      </c>
      <c r="K59" s="23">
        <f t="shared" si="11"/>
        <v>0</v>
      </c>
      <c r="L59" s="23">
        <f t="shared" si="12"/>
        <v>0</v>
      </c>
      <c r="M59" s="23">
        <f t="shared" si="13"/>
        <v>0</v>
      </c>
    </row>
    <row r="60" spans="1:13" ht="12.75">
      <c r="A60" s="15">
        <v>7</v>
      </c>
      <c r="B60" s="30"/>
      <c r="D60" s="11"/>
      <c r="E60" s="20"/>
      <c r="F60" s="21"/>
      <c r="G60" s="8"/>
      <c r="I60" s="23">
        <f t="shared" si="9"/>
        <v>0</v>
      </c>
      <c r="J60" s="23">
        <f t="shared" si="10"/>
        <v>0</v>
      </c>
      <c r="K60" s="23">
        <f t="shared" si="11"/>
        <v>0</v>
      </c>
      <c r="L60" s="23">
        <f t="shared" si="12"/>
        <v>0</v>
      </c>
      <c r="M60" s="23">
        <f t="shared" si="13"/>
        <v>0</v>
      </c>
    </row>
    <row r="61" spans="1:13" ht="12.75">
      <c r="A61" s="15">
        <v>8</v>
      </c>
      <c r="D61" s="11"/>
      <c r="E61" s="20"/>
      <c r="F61" s="21"/>
      <c r="G61" s="8"/>
      <c r="I61" s="23">
        <f t="shared" si="9"/>
        <v>0</v>
      </c>
      <c r="J61" s="23">
        <f t="shared" si="10"/>
        <v>0</v>
      </c>
      <c r="K61" s="23">
        <f t="shared" si="11"/>
        <v>0</v>
      </c>
      <c r="L61" s="23">
        <f t="shared" si="12"/>
        <v>0</v>
      </c>
      <c r="M61" s="23">
        <f t="shared" si="13"/>
        <v>0</v>
      </c>
    </row>
    <row r="62" spans="1:13" ht="12.75">
      <c r="A62" s="15">
        <v>9</v>
      </c>
      <c r="B62" s="30"/>
      <c r="D62" s="11"/>
      <c r="E62" s="20"/>
      <c r="F62" s="21"/>
      <c r="G62" s="8"/>
      <c r="I62" s="23">
        <f t="shared" si="9"/>
        <v>0</v>
      </c>
      <c r="J62" s="23">
        <f t="shared" si="10"/>
        <v>0</v>
      </c>
      <c r="K62" s="23">
        <f t="shared" si="11"/>
        <v>0</v>
      </c>
      <c r="L62" s="23">
        <f t="shared" si="12"/>
        <v>0</v>
      </c>
      <c r="M62" s="23">
        <f t="shared" si="13"/>
        <v>0</v>
      </c>
    </row>
    <row r="63" spans="1:13" ht="12.75">
      <c r="A63" s="15">
        <v>10</v>
      </c>
      <c r="B63" s="35"/>
      <c r="D63" s="11"/>
      <c r="E63" s="20"/>
      <c r="F63" s="21"/>
      <c r="G63" s="8"/>
      <c r="I63" s="23">
        <f t="shared" si="9"/>
        <v>0</v>
      </c>
      <c r="J63" s="23">
        <f t="shared" si="10"/>
        <v>0</v>
      </c>
      <c r="K63" s="23">
        <f t="shared" si="11"/>
        <v>0</v>
      </c>
      <c r="L63" s="23">
        <f t="shared" si="12"/>
        <v>0</v>
      </c>
      <c r="M63" s="23">
        <f t="shared" si="13"/>
        <v>0</v>
      </c>
    </row>
    <row r="64" spans="1:13" ht="12.75">
      <c r="A64" s="15">
        <v>11</v>
      </c>
      <c r="B64" s="30"/>
      <c r="D64" s="31"/>
      <c r="E64" s="20"/>
      <c r="F64" s="21"/>
      <c r="G64" s="8"/>
      <c r="I64" s="23">
        <f>+CEILING(IF($I$52=E64,F64,IF($I$52&lt;=G64,F64*0.3,0)),0.05)</f>
        <v>0</v>
      </c>
      <c r="J64" s="23">
        <f>+CEILING(IF($J$52&lt;=G64,F64*0.3,0),0.05)</f>
        <v>0</v>
      </c>
      <c r="K64" s="23">
        <f>+CEILING(IF($K$52&lt;=G64,F64*0.3,0),0.05)</f>
        <v>0</v>
      </c>
      <c r="L64" s="23">
        <f>+CEILING(IF($L$52&lt;=G64,F64*0.3,0),0.05)</f>
        <v>0</v>
      </c>
      <c r="M64" s="23">
        <f>CEILING(IF($M$52&lt;=G64,F64*0.3,0),0.05)</f>
        <v>0</v>
      </c>
    </row>
    <row r="65" spans="1:13" ht="12.75">
      <c r="A65" s="15">
        <v>12</v>
      </c>
      <c r="B65" s="30"/>
      <c r="D65" s="11"/>
      <c r="E65" s="20"/>
      <c r="F65" s="21"/>
      <c r="G65" s="8"/>
      <c r="I65" s="23">
        <f>+CEILING(IF($I$52=E65,F65,IF($I$52&lt;=G65,F65*0.3,0)),0.05)</f>
        <v>0</v>
      </c>
      <c r="J65" s="23">
        <f>+CEILING(IF($J$52&lt;=G65,F65*0.3,0),0.05)</f>
        <v>0</v>
      </c>
      <c r="K65" s="23">
        <f>+CEILING(IF($K$52&lt;=G65,F65*0.3,0),0.05)</f>
        <v>0</v>
      </c>
      <c r="L65" s="23">
        <f>+CEILING(IF($L$52&lt;=G65,F65*0.3,0),0.05)</f>
        <v>0</v>
      </c>
      <c r="M65" s="23">
        <f>CEILING(IF($M$52&lt;=G65,F65*0.3,0),0.05)</f>
        <v>0</v>
      </c>
    </row>
    <row r="66" spans="1:13" ht="12.75">
      <c r="A66" s="15">
        <v>13</v>
      </c>
      <c r="B66" s="30"/>
      <c r="D66" s="11"/>
      <c r="E66" s="20"/>
      <c r="F66" s="21"/>
      <c r="G66" s="8"/>
      <c r="I66" s="23">
        <f>+CEILING(IF($I$52=E66,F66,IF($I$52&lt;=G66,F66*0.3,0)),0.05)</f>
        <v>0</v>
      </c>
      <c r="J66" s="23">
        <f>+CEILING(IF($J$52&lt;=G66,F66*0.3,0),0.05)</f>
        <v>0</v>
      </c>
      <c r="K66" s="23">
        <f>+CEILING(IF($K$52&lt;=G66,F66*0.3,0),0.05)</f>
        <v>0</v>
      </c>
      <c r="L66" s="23">
        <f>+CEILING(IF($L$52&lt;=G66,F66*0.3,0),0.05)</f>
        <v>0</v>
      </c>
      <c r="M66" s="23">
        <f>CEILING(IF($M$52&lt;=G66,F66*0.3,0),0.05)</f>
        <v>0</v>
      </c>
    </row>
    <row r="67" spans="1:13" ht="12.75">
      <c r="A67" s="15">
        <v>14</v>
      </c>
      <c r="B67" s="30"/>
      <c r="D67" s="11"/>
      <c r="E67" s="20"/>
      <c r="F67" s="21"/>
      <c r="G67" s="8"/>
      <c r="I67" s="23">
        <f>+CEILING(IF($I$52=E67,F67,IF($I$52&lt;=G67,F67*0.3,0)),0.05)</f>
        <v>0</v>
      </c>
      <c r="J67" s="23">
        <f>+CEILING(IF($J$52&lt;=G67,F67*0.3,0),0.05)</f>
        <v>0</v>
      </c>
      <c r="K67" s="23">
        <f>+CEILING(IF($K$52&lt;=G67,F67*0.3,0),0.05)</f>
        <v>0</v>
      </c>
      <c r="L67" s="23">
        <f>+CEILING(IF($L$52&lt;=G67,F67*0.3,0),0.05)</f>
        <v>0</v>
      </c>
      <c r="M67" s="23">
        <f>CEILING(IF($M$52&lt;=G67,F67*0.3,0),0.05)</f>
        <v>0</v>
      </c>
    </row>
    <row r="68" spans="1:13" ht="12.75">
      <c r="A68" s="15">
        <v>15</v>
      </c>
      <c r="B68" s="30"/>
      <c r="D68" s="11"/>
      <c r="E68" s="20"/>
      <c r="F68" s="21"/>
      <c r="G68" s="8"/>
      <c r="I68" s="23">
        <f>+CEILING(IF($I$52=E68,F68,IF($I$52&lt;=G68,F68*0.3,0)),0.05)</f>
        <v>0</v>
      </c>
      <c r="J68" s="23">
        <f>+CEILING(IF($J$52&lt;=G68,F68*0.3,0),0.05)</f>
        <v>0</v>
      </c>
      <c r="K68" s="23">
        <f>+CEILING(IF($K$52&lt;=G68,F68*0.3,0),0.05)</f>
        <v>0</v>
      </c>
      <c r="L68" s="23">
        <f>+CEILING(IF($L$52&lt;=G68,F68*0.3,0),0.05)</f>
        <v>0</v>
      </c>
      <c r="M68" s="23">
        <f>CEILING(IF($M$52&lt;=G68,F68*0.3,0),0.05)</f>
        <v>0</v>
      </c>
    </row>
    <row r="69" spans="9:13" ht="7.5" customHeight="1">
      <c r="I69" s="22"/>
      <c r="J69" s="22"/>
      <c r="K69" s="22"/>
      <c r="L69" s="22"/>
      <c r="M69" s="22"/>
    </row>
    <row r="70" spans="9:13" ht="12.75">
      <c r="I70" s="24">
        <f>+SUM(I54:I69)</f>
        <v>6.65</v>
      </c>
      <c r="J70" s="24">
        <f>+SUM(J54:J69)</f>
        <v>0.5</v>
      </c>
      <c r="K70" s="24">
        <f>+SUM(K54:K69)</f>
        <v>0</v>
      </c>
      <c r="L70" s="24">
        <f>+SUM(L54:L69)</f>
        <v>0</v>
      </c>
      <c r="M70" s="24">
        <f>+SUM(M54:M69)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Light,Bold"&amp;14Matt Hudson&amp;R&amp;"Copperplate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54" t="s">
        <v>591</v>
      </c>
      <c r="C5" s="56" t="s">
        <v>37</v>
      </c>
      <c r="D5" s="56" t="s">
        <v>439</v>
      </c>
      <c r="E5" s="56" t="s">
        <v>441</v>
      </c>
      <c r="F5" s="23">
        <v>2.7</v>
      </c>
      <c r="G5" s="20">
        <v>2019</v>
      </c>
      <c r="I5" s="23">
        <f aca="true" t="shared" si="0" ref="I5:M14">+IF($G5&gt;=I$3,$F5,0)</f>
        <v>2.7</v>
      </c>
      <c r="J5" s="23">
        <f t="shared" si="0"/>
        <v>2.7</v>
      </c>
      <c r="K5" s="23">
        <f t="shared" si="0"/>
        <v>2.7</v>
      </c>
      <c r="L5" s="23">
        <f t="shared" si="0"/>
        <v>2.7</v>
      </c>
      <c r="M5" s="23">
        <f t="shared" si="0"/>
        <v>2.7</v>
      </c>
    </row>
    <row r="6" spans="1:13" ht="12.75">
      <c r="A6" s="15">
        <v>2</v>
      </c>
      <c r="B6" s="42" t="s">
        <v>348</v>
      </c>
      <c r="C6" s="11" t="s">
        <v>31</v>
      </c>
      <c r="D6" s="11" t="s">
        <v>25</v>
      </c>
      <c r="E6" s="20" t="s">
        <v>437</v>
      </c>
      <c r="F6" s="21">
        <v>7</v>
      </c>
      <c r="G6" s="8">
        <v>2018</v>
      </c>
      <c r="I6" s="23">
        <f t="shared" si="0"/>
        <v>7</v>
      </c>
      <c r="J6" s="23">
        <f t="shared" si="0"/>
        <v>7</v>
      </c>
      <c r="K6" s="23">
        <f t="shared" si="0"/>
        <v>7</v>
      </c>
      <c r="L6" s="23">
        <f t="shared" si="0"/>
        <v>7</v>
      </c>
      <c r="M6" s="23">
        <f t="shared" si="0"/>
        <v>0</v>
      </c>
    </row>
    <row r="7" spans="1:13" ht="12.75">
      <c r="A7" s="15">
        <v>3</v>
      </c>
      <c r="B7" s="42" t="s">
        <v>391</v>
      </c>
      <c r="C7" s="20" t="s">
        <v>17</v>
      </c>
      <c r="D7" s="20" t="s">
        <v>43</v>
      </c>
      <c r="E7" s="20" t="s">
        <v>437</v>
      </c>
      <c r="F7" s="21">
        <v>5.85</v>
      </c>
      <c r="G7" s="8">
        <v>2018</v>
      </c>
      <c r="I7" s="23">
        <f t="shared" si="0"/>
        <v>5.85</v>
      </c>
      <c r="J7" s="23">
        <f t="shared" si="0"/>
        <v>5.85</v>
      </c>
      <c r="K7" s="23">
        <f t="shared" si="0"/>
        <v>5.85</v>
      </c>
      <c r="L7" s="23">
        <f t="shared" si="0"/>
        <v>5.85</v>
      </c>
      <c r="M7" s="23">
        <f t="shared" si="0"/>
        <v>0</v>
      </c>
    </row>
    <row r="8" spans="1:13" ht="12.75">
      <c r="A8" s="15">
        <v>4</v>
      </c>
      <c r="B8" s="10" t="s">
        <v>764</v>
      </c>
      <c r="C8" s="11" t="s">
        <v>17</v>
      </c>
      <c r="D8" s="56" t="s">
        <v>34</v>
      </c>
      <c r="E8" s="20" t="s">
        <v>517</v>
      </c>
      <c r="F8" s="21">
        <v>15.4</v>
      </c>
      <c r="G8" s="8">
        <v>2017</v>
      </c>
      <c r="I8" s="23">
        <f t="shared" si="0"/>
        <v>15.4</v>
      </c>
      <c r="J8" s="23">
        <f t="shared" si="0"/>
        <v>15.4</v>
      </c>
      <c r="K8" s="23">
        <f t="shared" si="0"/>
        <v>15.4</v>
      </c>
      <c r="L8" s="23">
        <f t="shared" si="0"/>
        <v>0</v>
      </c>
      <c r="M8" s="23">
        <f t="shared" si="0"/>
        <v>0</v>
      </c>
    </row>
    <row r="9" spans="1:13" ht="12.75">
      <c r="A9" s="15">
        <v>5</v>
      </c>
      <c r="B9" s="42" t="s">
        <v>331</v>
      </c>
      <c r="C9" s="20" t="s">
        <v>19</v>
      </c>
      <c r="D9" s="20" t="s">
        <v>85</v>
      </c>
      <c r="E9" s="57" t="s">
        <v>432</v>
      </c>
      <c r="F9" s="21">
        <v>10.8</v>
      </c>
      <c r="G9" s="8">
        <v>2017</v>
      </c>
      <c r="I9" s="23">
        <f t="shared" si="0"/>
        <v>10.8</v>
      </c>
      <c r="J9" s="23">
        <f t="shared" si="0"/>
        <v>10.8</v>
      </c>
      <c r="K9" s="23">
        <f t="shared" si="0"/>
        <v>10.8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10" t="s">
        <v>259</v>
      </c>
      <c r="C10" s="11" t="s">
        <v>17</v>
      </c>
      <c r="D10" s="56" t="s">
        <v>16</v>
      </c>
      <c r="E10" s="20" t="s">
        <v>517</v>
      </c>
      <c r="F10" s="21">
        <v>9.5</v>
      </c>
      <c r="G10" s="8">
        <v>2017</v>
      </c>
      <c r="I10" s="23">
        <f t="shared" si="0"/>
        <v>9.5</v>
      </c>
      <c r="J10" s="23">
        <f t="shared" si="0"/>
        <v>9.5</v>
      </c>
      <c r="K10" s="23">
        <f t="shared" si="0"/>
        <v>9.5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42" t="s">
        <v>252</v>
      </c>
      <c r="C11" s="11" t="s">
        <v>17</v>
      </c>
      <c r="D11" s="11" t="s">
        <v>28</v>
      </c>
      <c r="E11" s="20" t="s">
        <v>432</v>
      </c>
      <c r="F11" s="21">
        <v>8.6</v>
      </c>
      <c r="G11" s="8">
        <v>2017</v>
      </c>
      <c r="I11" s="23">
        <f t="shared" si="0"/>
        <v>8.6</v>
      </c>
      <c r="J11" s="23">
        <f t="shared" si="0"/>
        <v>8.6</v>
      </c>
      <c r="K11" s="23">
        <f t="shared" si="0"/>
        <v>8.6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10" t="s">
        <v>554</v>
      </c>
      <c r="C12" s="11" t="s">
        <v>19</v>
      </c>
      <c r="D12" s="11" t="s">
        <v>81</v>
      </c>
      <c r="E12" s="11" t="s">
        <v>441</v>
      </c>
      <c r="F12" s="25">
        <v>7.25</v>
      </c>
      <c r="G12" s="11">
        <v>2017</v>
      </c>
      <c r="I12" s="23">
        <f t="shared" si="0"/>
        <v>7.25</v>
      </c>
      <c r="J12" s="23">
        <f t="shared" si="0"/>
        <v>7.25</v>
      </c>
      <c r="K12" s="23">
        <f t="shared" si="0"/>
        <v>7.25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10" t="s">
        <v>308</v>
      </c>
      <c r="C13" s="56" t="s">
        <v>40</v>
      </c>
      <c r="D13" s="11" t="s">
        <v>44</v>
      </c>
      <c r="E13" s="11" t="s">
        <v>517</v>
      </c>
      <c r="F13" s="16">
        <v>5.5</v>
      </c>
      <c r="G13" s="17">
        <v>2017</v>
      </c>
      <c r="I13" s="23">
        <f t="shared" si="0"/>
        <v>5.5</v>
      </c>
      <c r="J13" s="23">
        <f t="shared" si="0"/>
        <v>5.5</v>
      </c>
      <c r="K13" s="23">
        <f t="shared" si="0"/>
        <v>5.5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42" t="s">
        <v>312</v>
      </c>
      <c r="C14" s="11" t="s">
        <v>26</v>
      </c>
      <c r="D14" s="11" t="s">
        <v>23</v>
      </c>
      <c r="E14" s="20" t="s">
        <v>517</v>
      </c>
      <c r="F14" s="21">
        <v>4.2</v>
      </c>
      <c r="G14" s="8">
        <v>2017</v>
      </c>
      <c r="I14" s="23">
        <f t="shared" si="0"/>
        <v>4.2</v>
      </c>
      <c r="J14" s="23">
        <f t="shared" si="0"/>
        <v>4.2</v>
      </c>
      <c r="K14" s="23">
        <f t="shared" si="0"/>
        <v>4.2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42" t="s">
        <v>260</v>
      </c>
      <c r="C15" s="11" t="s">
        <v>15</v>
      </c>
      <c r="D15" s="56" t="s">
        <v>46</v>
      </c>
      <c r="E15" s="20" t="s">
        <v>517</v>
      </c>
      <c r="F15" s="21">
        <v>2.6</v>
      </c>
      <c r="G15" s="8">
        <v>2017</v>
      </c>
      <c r="I15" s="23">
        <f aca="true" t="shared" si="1" ref="I15:M24">+IF($G15&gt;=I$3,$F15,0)</f>
        <v>2.6</v>
      </c>
      <c r="J15" s="23">
        <f t="shared" si="1"/>
        <v>2.6</v>
      </c>
      <c r="K15" s="23">
        <f t="shared" si="1"/>
        <v>2.6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42" t="s">
        <v>261</v>
      </c>
      <c r="C16" s="11" t="s">
        <v>19</v>
      </c>
      <c r="D16" s="11" t="s">
        <v>85</v>
      </c>
      <c r="E16" s="20" t="s">
        <v>517</v>
      </c>
      <c r="F16" s="21">
        <v>2.55</v>
      </c>
      <c r="G16" s="8">
        <v>2017</v>
      </c>
      <c r="I16" s="23">
        <f t="shared" si="1"/>
        <v>2.55</v>
      </c>
      <c r="J16" s="23">
        <f t="shared" si="1"/>
        <v>2.55</v>
      </c>
      <c r="K16" s="23">
        <f t="shared" si="1"/>
        <v>2.55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10" t="s">
        <v>262</v>
      </c>
      <c r="C17" s="11" t="s">
        <v>19</v>
      </c>
      <c r="D17" s="56" t="s">
        <v>51</v>
      </c>
      <c r="E17" s="20" t="s">
        <v>517</v>
      </c>
      <c r="F17" s="16">
        <v>2.15</v>
      </c>
      <c r="G17" s="17">
        <v>2017</v>
      </c>
      <c r="I17" s="23">
        <f t="shared" si="1"/>
        <v>2.15</v>
      </c>
      <c r="J17" s="23">
        <f t="shared" si="1"/>
        <v>2.15</v>
      </c>
      <c r="K17" s="23">
        <f t="shared" si="1"/>
        <v>2.15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42" t="s">
        <v>304</v>
      </c>
      <c r="C18" s="11" t="s">
        <v>17</v>
      </c>
      <c r="D18" s="11" t="s">
        <v>45</v>
      </c>
      <c r="E18" s="20" t="s">
        <v>517</v>
      </c>
      <c r="F18" s="21">
        <v>1.4</v>
      </c>
      <c r="G18" s="8">
        <v>2017</v>
      </c>
      <c r="I18" s="23">
        <f t="shared" si="1"/>
        <v>1.4</v>
      </c>
      <c r="J18" s="23">
        <f t="shared" si="1"/>
        <v>1.4</v>
      </c>
      <c r="K18" s="23">
        <f t="shared" si="1"/>
        <v>1.4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5" t="s">
        <v>186</v>
      </c>
      <c r="C19" s="11" t="s">
        <v>19</v>
      </c>
      <c r="D19" s="56" t="s">
        <v>33</v>
      </c>
      <c r="E19" s="20" t="s">
        <v>518</v>
      </c>
      <c r="F19" s="21">
        <v>9.4</v>
      </c>
      <c r="G19" s="8">
        <v>2016</v>
      </c>
      <c r="I19" s="23">
        <f t="shared" si="1"/>
        <v>9.4</v>
      </c>
      <c r="J19" s="23">
        <f t="shared" si="1"/>
        <v>9.4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42" t="s">
        <v>536</v>
      </c>
      <c r="C20" s="11" t="s">
        <v>15</v>
      </c>
      <c r="D20" s="11" t="s">
        <v>22</v>
      </c>
      <c r="E20" s="20" t="s">
        <v>441</v>
      </c>
      <c r="F20" s="21">
        <v>10.4</v>
      </c>
      <c r="G20" s="8">
        <v>2015</v>
      </c>
      <c r="I20" s="23">
        <f t="shared" si="1"/>
        <v>10.4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4" t="s">
        <v>611</v>
      </c>
      <c r="C21" s="56" t="s">
        <v>37</v>
      </c>
      <c r="D21" s="56" t="s">
        <v>32</v>
      </c>
      <c r="E21" s="56" t="s">
        <v>594</v>
      </c>
      <c r="F21" s="23">
        <v>1.7</v>
      </c>
      <c r="G21" s="20">
        <v>2015</v>
      </c>
      <c r="I21" s="23">
        <f t="shared" si="1"/>
        <v>1.7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42" t="s">
        <v>614</v>
      </c>
      <c r="C22" s="11" t="s">
        <v>37</v>
      </c>
      <c r="D22" s="11" t="s">
        <v>46</v>
      </c>
      <c r="E22" s="20" t="s">
        <v>594</v>
      </c>
      <c r="F22" s="21">
        <v>1.7</v>
      </c>
      <c r="G22" s="8">
        <v>2015</v>
      </c>
      <c r="I22" s="23">
        <f t="shared" si="1"/>
        <v>1.7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42" t="s">
        <v>175</v>
      </c>
      <c r="C23" s="11" t="s">
        <v>18</v>
      </c>
      <c r="D23" s="11" t="s">
        <v>42</v>
      </c>
      <c r="E23" s="20" t="s">
        <v>594</v>
      </c>
      <c r="F23" s="21">
        <v>1.7</v>
      </c>
      <c r="G23" s="8">
        <v>2015</v>
      </c>
      <c r="I23" s="23">
        <f t="shared" si="1"/>
        <v>1.7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42" t="s">
        <v>629</v>
      </c>
      <c r="C24" s="11" t="s">
        <v>37</v>
      </c>
      <c r="D24" s="11" t="s">
        <v>226</v>
      </c>
      <c r="E24" s="20" t="s">
        <v>594</v>
      </c>
      <c r="F24" s="21">
        <v>1.7</v>
      </c>
      <c r="G24" s="8">
        <v>2015</v>
      </c>
      <c r="I24" s="23">
        <f t="shared" si="1"/>
        <v>1.7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42" t="s">
        <v>716</v>
      </c>
      <c r="C25" s="11" t="s">
        <v>37</v>
      </c>
      <c r="D25" s="11" t="s">
        <v>21</v>
      </c>
      <c r="E25" s="20" t="s">
        <v>594</v>
      </c>
      <c r="F25" s="21">
        <v>1.7</v>
      </c>
      <c r="G25" s="8">
        <v>2015</v>
      </c>
      <c r="I25" s="23">
        <f aca="true" t="shared" si="2" ref="I25:M32">+IF($G25&gt;=I$3,$F25,0)</f>
        <v>1.7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10" t="s">
        <v>717</v>
      </c>
      <c r="C26" s="11" t="s">
        <v>37</v>
      </c>
      <c r="D26" s="11" t="s">
        <v>88</v>
      </c>
      <c r="E26" s="56" t="s">
        <v>594</v>
      </c>
      <c r="F26" s="16">
        <v>1.7</v>
      </c>
      <c r="G26" s="17">
        <v>2015</v>
      </c>
      <c r="I26" s="23">
        <f t="shared" si="2"/>
        <v>1.7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42" t="s">
        <v>113</v>
      </c>
      <c r="C27" s="11" t="s">
        <v>26</v>
      </c>
      <c r="D27" s="11" t="s">
        <v>81</v>
      </c>
      <c r="E27" s="20" t="s">
        <v>594</v>
      </c>
      <c r="F27" s="21">
        <v>1.7</v>
      </c>
      <c r="G27" s="8">
        <v>2015</v>
      </c>
      <c r="I27" s="23">
        <f t="shared" si="2"/>
        <v>1.7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9" t="s">
        <v>718</v>
      </c>
      <c r="C28" s="11" t="s">
        <v>31</v>
      </c>
      <c r="D28" s="56" t="s">
        <v>36</v>
      </c>
      <c r="E28" s="57" t="s">
        <v>594</v>
      </c>
      <c r="F28" s="21">
        <v>1.7</v>
      </c>
      <c r="G28" s="8">
        <v>2015</v>
      </c>
      <c r="I28" s="23">
        <f t="shared" si="2"/>
        <v>1.7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49" t="s">
        <v>650</v>
      </c>
      <c r="C29" s="20" t="s">
        <v>17</v>
      </c>
      <c r="D29" s="20" t="s">
        <v>42</v>
      </c>
      <c r="E29" s="20" t="s">
        <v>594</v>
      </c>
      <c r="F29" s="21">
        <v>1.7</v>
      </c>
      <c r="G29" s="8">
        <v>2015</v>
      </c>
      <c r="I29" s="23">
        <f t="shared" si="2"/>
        <v>1.7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10" t="s">
        <v>651</v>
      </c>
      <c r="C30" s="56" t="s">
        <v>17</v>
      </c>
      <c r="D30" s="11" t="s">
        <v>22</v>
      </c>
      <c r="E30" s="20" t="s">
        <v>594</v>
      </c>
      <c r="F30" s="21">
        <v>1.7</v>
      </c>
      <c r="G30" s="8">
        <v>2015</v>
      </c>
      <c r="I30" s="23">
        <f t="shared" si="2"/>
        <v>1.7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42" t="s">
        <v>732</v>
      </c>
      <c r="C31" s="11" t="s">
        <v>17</v>
      </c>
      <c r="D31" s="11" t="s">
        <v>29</v>
      </c>
      <c r="E31" s="20" t="s">
        <v>594</v>
      </c>
      <c r="F31" s="21">
        <v>1.7</v>
      </c>
      <c r="G31" s="8">
        <v>2015</v>
      </c>
      <c r="I31" s="23">
        <f t="shared" si="2"/>
        <v>1.7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42" t="s">
        <v>672</v>
      </c>
      <c r="C32" s="11" t="s">
        <v>19</v>
      </c>
      <c r="D32" s="11" t="s">
        <v>32</v>
      </c>
      <c r="E32" s="20" t="s">
        <v>594</v>
      </c>
      <c r="F32" s="21">
        <v>1.7</v>
      </c>
      <c r="G32" s="8">
        <v>2015</v>
      </c>
      <c r="I32" s="23">
        <f t="shared" si="2"/>
        <v>1.7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2:13" ht="12.75">
      <c r="B34" s="42"/>
      <c r="D34" s="11"/>
      <c r="E34" s="20"/>
      <c r="F34" s="21"/>
      <c r="G34" s="8"/>
      <c r="I34" s="24">
        <f>+SUM(I5:I32)</f>
        <v>125.70000000000005</v>
      </c>
      <c r="J34" s="24">
        <f>+SUM(J5:J32)</f>
        <v>94.9</v>
      </c>
      <c r="K34" s="24">
        <f>+SUM(K5:K32)</f>
        <v>85.5</v>
      </c>
      <c r="L34" s="24">
        <f>+SUM(L5:L32)</f>
        <v>15.549999999999999</v>
      </c>
      <c r="M34" s="24">
        <f>+SUM(M5:M32)</f>
        <v>2.7</v>
      </c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2015</v>
      </c>
      <c r="J38" s="14">
        <f>+J$3</f>
        <v>2016</v>
      </c>
      <c r="K38" s="14">
        <f>+K$3</f>
        <v>2017</v>
      </c>
      <c r="L38" s="14">
        <f>+L$3</f>
        <v>2018</v>
      </c>
      <c r="M38" s="14">
        <f>+M$3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10" t="s">
        <v>424</v>
      </c>
      <c r="C40" s="11" t="s">
        <v>19</v>
      </c>
      <c r="D40" s="11" t="s">
        <v>29</v>
      </c>
      <c r="E40" s="20" t="s">
        <v>437</v>
      </c>
      <c r="F40" s="25">
        <v>1.55</v>
      </c>
      <c r="G40" s="8">
        <v>2018</v>
      </c>
      <c r="I40" s="23">
        <f aca="true" t="shared" si="3" ref="I40:I45">+CEILING(IF($I$38&lt;=G40,F40*0.3,0),0.05)</f>
        <v>0.5</v>
      </c>
      <c r="J40" s="23">
        <f aca="true" t="shared" si="4" ref="J40:J45">+CEILING(IF($J$38&lt;=G40,F40*0.3,0),0.05)</f>
        <v>0.5</v>
      </c>
      <c r="K40" s="23">
        <f aca="true" t="shared" si="5" ref="K40:K45">+CEILING(IF($K$38&lt;=G40,F40*0.3,0),0.05)</f>
        <v>0.5</v>
      </c>
      <c r="L40" s="23">
        <f aca="true" t="shared" si="6" ref="L40:L45">+CEILING(IF($L$38&lt;=G40,F40*0.3,0),0.05)</f>
        <v>0.5</v>
      </c>
      <c r="M40" s="23">
        <f aca="true" t="shared" si="7" ref="M40:M45">+CEILING(IF($M$38&lt;=G40,F40*0.3,0),0.05)</f>
        <v>0</v>
      </c>
    </row>
    <row r="41" spans="1:13" ht="12.75">
      <c r="A41" s="15">
        <v>2</v>
      </c>
      <c r="B41" s="10" t="s">
        <v>323</v>
      </c>
      <c r="C41" s="11" t="s">
        <v>15</v>
      </c>
      <c r="D41" s="11" t="s">
        <v>46</v>
      </c>
      <c r="E41" s="11" t="s">
        <v>432</v>
      </c>
      <c r="F41" s="25">
        <v>6.25</v>
      </c>
      <c r="G41" s="11">
        <v>2017</v>
      </c>
      <c r="I41" s="23">
        <f t="shared" si="3"/>
        <v>1.9000000000000001</v>
      </c>
      <c r="J41" s="23">
        <f t="shared" si="4"/>
        <v>1.9000000000000001</v>
      </c>
      <c r="K41" s="23">
        <f t="shared" si="5"/>
        <v>1.9000000000000001</v>
      </c>
      <c r="L41" s="23">
        <f t="shared" si="6"/>
        <v>0</v>
      </c>
      <c r="M41" s="23">
        <f t="shared" si="7"/>
        <v>0</v>
      </c>
    </row>
    <row r="42" spans="1:13" ht="12.75">
      <c r="A42" s="15">
        <v>3</v>
      </c>
      <c r="B42" s="10" t="s">
        <v>263</v>
      </c>
      <c r="C42" s="11" t="s">
        <v>18</v>
      </c>
      <c r="D42" s="11" t="s">
        <v>34</v>
      </c>
      <c r="E42" s="11" t="s">
        <v>432</v>
      </c>
      <c r="F42" s="16">
        <v>5.75</v>
      </c>
      <c r="G42" s="17">
        <v>2017</v>
      </c>
      <c r="I42" s="23">
        <f t="shared" si="3"/>
        <v>1.75</v>
      </c>
      <c r="J42" s="23">
        <f t="shared" si="4"/>
        <v>1.75</v>
      </c>
      <c r="K42" s="23">
        <f t="shared" si="5"/>
        <v>1.75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B43" s="49" t="s">
        <v>332</v>
      </c>
      <c r="C43" s="11" t="s">
        <v>26</v>
      </c>
      <c r="D43" s="11" t="s">
        <v>29</v>
      </c>
      <c r="E43" s="57" t="s">
        <v>432</v>
      </c>
      <c r="F43" s="21">
        <v>5.75</v>
      </c>
      <c r="G43" s="8">
        <v>2017</v>
      </c>
      <c r="I43" s="23">
        <f t="shared" si="3"/>
        <v>1.75</v>
      </c>
      <c r="J43" s="23">
        <f t="shared" si="4"/>
        <v>1.75</v>
      </c>
      <c r="K43" s="23">
        <f t="shared" si="5"/>
        <v>1.75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10" t="s">
        <v>334</v>
      </c>
      <c r="C44" s="11" t="s">
        <v>37</v>
      </c>
      <c r="D44" s="11" t="s">
        <v>24</v>
      </c>
      <c r="E44" s="11" t="s">
        <v>517</v>
      </c>
      <c r="F44" s="25">
        <v>3.55</v>
      </c>
      <c r="G44" s="11">
        <v>2017</v>
      </c>
      <c r="I44" s="23">
        <f t="shared" si="3"/>
        <v>1.1</v>
      </c>
      <c r="J44" s="23">
        <f t="shared" si="4"/>
        <v>1.1</v>
      </c>
      <c r="K44" s="23">
        <f t="shared" si="5"/>
        <v>1.1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42" t="s">
        <v>160</v>
      </c>
      <c r="C45" s="20" t="s">
        <v>31</v>
      </c>
      <c r="D45" s="20" t="s">
        <v>21</v>
      </c>
      <c r="E45" s="20" t="s">
        <v>433</v>
      </c>
      <c r="F45" s="21">
        <v>7.25</v>
      </c>
      <c r="G45" s="8">
        <v>2015</v>
      </c>
      <c r="I45" s="23">
        <f t="shared" si="3"/>
        <v>2.2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76</v>
      </c>
      <c r="C46" s="31"/>
      <c r="D46" s="31"/>
      <c r="E46" s="31"/>
      <c r="F46" s="16"/>
      <c r="G46" s="17"/>
      <c r="I46" s="23">
        <f>+CEILING(IF($I$38&lt;=G46,F46*0.3,0),0.05)</f>
        <v>0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9.2</v>
      </c>
      <c r="J48" s="19">
        <f>+SUM(J40:J47)</f>
        <v>7</v>
      </c>
      <c r="K48" s="19">
        <f>+SUM(K40:K47)</f>
        <v>7</v>
      </c>
      <c r="L48" s="19">
        <f>+SUM(L40:L47)</f>
        <v>0.5</v>
      </c>
      <c r="M48" s="19">
        <f>+SUM(M40:M47)</f>
        <v>0</v>
      </c>
    </row>
    <row r="50" spans="1:13" ht="15.75">
      <c r="A50" s="140" t="s">
        <v>49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2015</v>
      </c>
      <c r="J52" s="14">
        <f>+J$3</f>
        <v>2016</v>
      </c>
      <c r="K52" s="14">
        <f>+K$3</f>
        <v>2017</v>
      </c>
      <c r="L52" s="14">
        <f>+L$3</f>
        <v>2018</v>
      </c>
      <c r="M52" s="14">
        <f>+M$3</f>
        <v>2019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10" t="s">
        <v>392</v>
      </c>
      <c r="C54" s="11" t="s">
        <v>37</v>
      </c>
      <c r="D54" s="11" t="s">
        <v>29</v>
      </c>
      <c r="E54" s="20">
        <v>2014</v>
      </c>
      <c r="F54" s="25">
        <v>1.85</v>
      </c>
      <c r="G54" s="8">
        <v>2018</v>
      </c>
      <c r="I54" s="23">
        <f aca="true" t="shared" si="8" ref="I54:I66">+CEILING(IF($I$52=E54,F54,IF($I$52&lt;=G54,F54*0.3,0)),0.05)</f>
        <v>0.6000000000000001</v>
      </c>
      <c r="J54" s="23">
        <f aca="true" t="shared" si="9" ref="J54:J66">+CEILING(IF($J$52&lt;=G54,F54*0.3,0),0.05)</f>
        <v>0.6000000000000001</v>
      </c>
      <c r="K54" s="23">
        <f aca="true" t="shared" si="10" ref="K54:K66">+CEILING(IF($K$52&lt;=G54,F54*0.3,0),0.05)</f>
        <v>0.6000000000000001</v>
      </c>
      <c r="L54" s="23">
        <f aca="true" t="shared" si="11" ref="L54:L66">+CEILING(IF($L$52&lt;=G54,F54*0.3,0),0.05)</f>
        <v>0.6000000000000001</v>
      </c>
      <c r="M54" s="23">
        <f aca="true" t="shared" si="12" ref="M54:M66">CEILING(IF($M$52&lt;=G54,F54*0.3,0),0.05)</f>
        <v>0</v>
      </c>
    </row>
    <row r="55" spans="1:13" ht="12.75">
      <c r="A55" s="15">
        <v>2</v>
      </c>
      <c r="B55" s="42" t="s">
        <v>287</v>
      </c>
      <c r="C55" s="11" t="s">
        <v>31</v>
      </c>
      <c r="D55" s="11" t="s">
        <v>46</v>
      </c>
      <c r="E55" s="20">
        <v>2014</v>
      </c>
      <c r="F55" s="21">
        <v>1.4</v>
      </c>
      <c r="G55" s="8">
        <v>2017</v>
      </c>
      <c r="I55" s="23">
        <f t="shared" si="8"/>
        <v>0.45</v>
      </c>
      <c r="J55" s="23">
        <f t="shared" si="9"/>
        <v>0.45</v>
      </c>
      <c r="K55" s="23">
        <f t="shared" si="10"/>
        <v>0.45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55" t="s">
        <v>222</v>
      </c>
      <c r="C56" s="11" t="s">
        <v>17</v>
      </c>
      <c r="D56" s="11" t="s">
        <v>35</v>
      </c>
      <c r="E56" s="20">
        <v>2013</v>
      </c>
      <c r="F56" s="21">
        <v>5</v>
      </c>
      <c r="G56" s="8">
        <v>2016</v>
      </c>
      <c r="I56" s="23">
        <f t="shared" si="8"/>
        <v>1.5</v>
      </c>
      <c r="J56" s="23">
        <f t="shared" si="9"/>
        <v>1.5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5" t="s">
        <v>198</v>
      </c>
      <c r="C57" s="20" t="s">
        <v>17</v>
      </c>
      <c r="D57" s="20" t="s">
        <v>25</v>
      </c>
      <c r="E57" s="20">
        <v>2013</v>
      </c>
      <c r="F57" s="21">
        <v>1.85</v>
      </c>
      <c r="G57" s="8">
        <v>2016</v>
      </c>
      <c r="I57" s="23">
        <f t="shared" si="8"/>
        <v>0.6000000000000001</v>
      </c>
      <c r="J57" s="23">
        <f t="shared" si="9"/>
        <v>0.6000000000000001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10" t="s">
        <v>113</v>
      </c>
      <c r="C58" s="11" t="s">
        <v>40</v>
      </c>
      <c r="D58" s="11" t="s">
        <v>81</v>
      </c>
      <c r="E58" s="11">
        <v>2013</v>
      </c>
      <c r="F58" s="25">
        <v>4.6</v>
      </c>
      <c r="G58" s="11">
        <v>2015</v>
      </c>
      <c r="I58" s="23">
        <f t="shared" si="8"/>
        <v>1.4000000000000001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42" t="s">
        <v>641</v>
      </c>
      <c r="C59" s="11" t="s">
        <v>37</v>
      </c>
      <c r="D59" s="11" t="s">
        <v>36</v>
      </c>
      <c r="E59" s="20">
        <v>2015</v>
      </c>
      <c r="F59" s="21">
        <v>1.7</v>
      </c>
      <c r="G59" s="8">
        <v>2015</v>
      </c>
      <c r="I59" s="23">
        <f t="shared" si="8"/>
        <v>1.7000000000000002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42" t="s">
        <v>697</v>
      </c>
      <c r="C60" s="11" t="s">
        <v>37</v>
      </c>
      <c r="D60" s="11" t="s">
        <v>24</v>
      </c>
      <c r="E60" s="20">
        <v>2015</v>
      </c>
      <c r="F60" s="21">
        <v>1.7</v>
      </c>
      <c r="G60" s="8">
        <v>2015</v>
      </c>
      <c r="I60" s="23">
        <f t="shared" si="8"/>
        <v>1.7000000000000002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42" t="s">
        <v>646</v>
      </c>
      <c r="C61" s="11" t="s">
        <v>37</v>
      </c>
      <c r="D61" s="11" t="s">
        <v>39</v>
      </c>
      <c r="E61" s="20">
        <v>2015</v>
      </c>
      <c r="F61" s="21">
        <v>1.7</v>
      </c>
      <c r="G61" s="8">
        <v>2015</v>
      </c>
      <c r="I61" s="23">
        <f t="shared" si="8"/>
        <v>1.7000000000000002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10" t="s">
        <v>643</v>
      </c>
      <c r="C62" s="11" t="s">
        <v>37</v>
      </c>
      <c r="D62" s="11" t="s">
        <v>39</v>
      </c>
      <c r="E62" s="20">
        <v>2015</v>
      </c>
      <c r="F62" s="16">
        <v>1.7</v>
      </c>
      <c r="G62" s="17">
        <v>2015</v>
      </c>
      <c r="I62" s="23">
        <f t="shared" si="8"/>
        <v>1.7000000000000002</v>
      </c>
      <c r="J62" s="23">
        <f t="shared" si="9"/>
        <v>0</v>
      </c>
      <c r="K62" s="23">
        <f t="shared" si="10"/>
        <v>0</v>
      </c>
      <c r="L62" s="23">
        <f t="shared" si="11"/>
        <v>0</v>
      </c>
      <c r="M62" s="23">
        <f t="shared" si="12"/>
        <v>0</v>
      </c>
    </row>
    <row r="63" spans="1:13" ht="12.75">
      <c r="A63" s="15">
        <v>10</v>
      </c>
      <c r="B63" s="59" t="s">
        <v>647</v>
      </c>
      <c r="C63" s="11" t="s">
        <v>31</v>
      </c>
      <c r="D63" s="56" t="s">
        <v>38</v>
      </c>
      <c r="E63" s="20">
        <v>2015</v>
      </c>
      <c r="F63" s="21">
        <v>1.7</v>
      </c>
      <c r="G63" s="8">
        <v>2015</v>
      </c>
      <c r="I63" s="23">
        <f>+CEILING(IF($I$52=E63,F63,IF($I$52&lt;=G63,F63*0.3,0)),0.05)</f>
        <v>1.7000000000000002</v>
      </c>
      <c r="J63" s="23">
        <f>+CEILING(IF($J$52&lt;=G63,F63*0.3,0),0.05)</f>
        <v>0</v>
      </c>
      <c r="K63" s="23">
        <f>+CEILING(IF($K$52&lt;=G63,F63*0.3,0),0.05)</f>
        <v>0</v>
      </c>
      <c r="L63" s="23">
        <f>+CEILING(IF($L$52&lt;=G63,F63*0.3,0),0.05)</f>
        <v>0</v>
      </c>
      <c r="M63" s="23">
        <f>CEILING(IF($M$52&lt;=G63,F63*0.3,0),0.05)</f>
        <v>0</v>
      </c>
    </row>
    <row r="64" spans="1:13" ht="12.75">
      <c r="A64" s="15">
        <v>11</v>
      </c>
      <c r="B64" s="42" t="s">
        <v>630</v>
      </c>
      <c r="C64" s="11" t="s">
        <v>37</v>
      </c>
      <c r="D64" s="11" t="s">
        <v>28</v>
      </c>
      <c r="E64" s="20">
        <v>2015</v>
      </c>
      <c r="F64" s="21">
        <v>1.7</v>
      </c>
      <c r="G64" s="8">
        <v>2015</v>
      </c>
      <c r="I64" s="23">
        <f>+CEILING(IF($I$52=E64,F64,IF($I$52&lt;=G64,F64*0.3,0)),0.05)</f>
        <v>1.7000000000000002</v>
      </c>
      <c r="J64" s="23">
        <f>+CEILING(IF($J$52&lt;=G64,F64*0.3,0),0.05)</f>
        <v>0</v>
      </c>
      <c r="K64" s="23">
        <f>+CEILING(IF($K$52&lt;=G64,F64*0.3,0),0.05)</f>
        <v>0</v>
      </c>
      <c r="L64" s="23">
        <f>+CEILING(IF($L$52&lt;=G64,F64*0.3,0),0.05)</f>
        <v>0</v>
      </c>
      <c r="M64" s="23">
        <f>CEILING(IF($M$52&lt;=G64,F64*0.3,0),0.05)</f>
        <v>0</v>
      </c>
    </row>
    <row r="65" spans="1:13" ht="12.75">
      <c r="A65" s="15">
        <v>12</v>
      </c>
      <c r="B65" s="42" t="s">
        <v>193</v>
      </c>
      <c r="C65" s="11" t="s">
        <v>17</v>
      </c>
      <c r="D65" s="11" t="s">
        <v>44</v>
      </c>
      <c r="E65" s="20">
        <v>2015</v>
      </c>
      <c r="F65" s="21">
        <v>1.7</v>
      </c>
      <c r="G65" s="8">
        <v>2015</v>
      </c>
      <c r="I65" s="23">
        <f>+CEILING(IF($I$52=E65,F65,IF($I$52&lt;=G65,F65*0.3,0)),0.05)</f>
        <v>1.7000000000000002</v>
      </c>
      <c r="J65" s="23">
        <f>+CEILING(IF($J$52&lt;=G65,F65*0.3,0),0.05)</f>
        <v>0</v>
      </c>
      <c r="K65" s="23">
        <f>+CEILING(IF($K$52&lt;=G65,F65*0.3,0),0.05)</f>
        <v>0</v>
      </c>
      <c r="L65" s="23">
        <f>+CEILING(IF($L$52&lt;=G65,F65*0.3,0),0.05)</f>
        <v>0</v>
      </c>
      <c r="M65" s="23">
        <f>CEILING(IF($M$52&lt;=G65,F65*0.3,0),0.05)</f>
        <v>0</v>
      </c>
    </row>
    <row r="66" spans="1:13" ht="12.75">
      <c r="A66" s="15">
        <v>13</v>
      </c>
      <c r="B66" s="49"/>
      <c r="D66" s="11"/>
      <c r="E66" s="20"/>
      <c r="F66" s="21"/>
      <c r="G66" s="8"/>
      <c r="I66" s="23">
        <f t="shared" si="8"/>
        <v>0</v>
      </c>
      <c r="J66" s="23">
        <f t="shared" si="9"/>
        <v>0</v>
      </c>
      <c r="K66" s="23">
        <f t="shared" si="10"/>
        <v>0</v>
      </c>
      <c r="L66" s="23">
        <f t="shared" si="11"/>
        <v>0</v>
      </c>
      <c r="M66" s="23">
        <f t="shared" si="12"/>
        <v>0</v>
      </c>
    </row>
    <row r="67" spans="1:13" ht="12.75">
      <c r="A67" s="15">
        <v>14</v>
      </c>
      <c r="C67" s="56"/>
      <c r="D67" s="11"/>
      <c r="E67" s="20"/>
      <c r="F67" s="21"/>
      <c r="G67" s="8"/>
      <c r="I67" s="23">
        <f aca="true" t="shared" si="13" ref="I67:I72">+CEILING(IF($I$52=E67,F67,IF($I$52&lt;=G67,F67*0.3,0)),0.05)</f>
        <v>0</v>
      </c>
      <c r="J67" s="23">
        <f aca="true" t="shared" si="14" ref="J67:J72">+CEILING(IF($J$52&lt;=G67,F67*0.3,0),0.05)</f>
        <v>0</v>
      </c>
      <c r="K67" s="23">
        <f aca="true" t="shared" si="15" ref="K67:K72">+CEILING(IF($K$52&lt;=G67,F67*0.3,0),0.05)</f>
        <v>0</v>
      </c>
      <c r="L67" s="23">
        <f aca="true" t="shared" si="16" ref="L67:L72">+CEILING(IF($L$52&lt;=G67,F67*0.3,0),0.05)</f>
        <v>0</v>
      </c>
      <c r="M67" s="23">
        <f aca="true" t="shared" si="17" ref="M67:M72">CEILING(IF($M$52&lt;=G67,F67*0.3,0),0.05)</f>
        <v>0</v>
      </c>
    </row>
    <row r="68" spans="1:13" ht="12.75">
      <c r="A68" s="15">
        <v>15</v>
      </c>
      <c r="B68" s="42"/>
      <c r="D68" s="11"/>
      <c r="E68" s="20"/>
      <c r="F68" s="21"/>
      <c r="G68" s="8"/>
      <c r="I68" s="23">
        <f t="shared" si="13"/>
        <v>0</v>
      </c>
      <c r="J68" s="23">
        <f t="shared" si="14"/>
        <v>0</v>
      </c>
      <c r="K68" s="23">
        <f t="shared" si="15"/>
        <v>0</v>
      </c>
      <c r="L68" s="23">
        <f t="shared" si="16"/>
        <v>0</v>
      </c>
      <c r="M68" s="23">
        <f t="shared" si="17"/>
        <v>0</v>
      </c>
    </row>
    <row r="69" spans="1:13" ht="12.75">
      <c r="A69" s="15">
        <v>16</v>
      </c>
      <c r="B69" s="49"/>
      <c r="C69" s="20"/>
      <c r="D69" s="20"/>
      <c r="E69" s="20"/>
      <c r="F69" s="21"/>
      <c r="G69" s="8"/>
      <c r="I69" s="23">
        <f t="shared" si="13"/>
        <v>0</v>
      </c>
      <c r="J69" s="23">
        <f t="shared" si="14"/>
        <v>0</v>
      </c>
      <c r="K69" s="23">
        <f t="shared" si="15"/>
        <v>0</v>
      </c>
      <c r="L69" s="23">
        <f t="shared" si="16"/>
        <v>0</v>
      </c>
      <c r="M69" s="23">
        <f t="shared" si="17"/>
        <v>0</v>
      </c>
    </row>
    <row r="70" spans="1:13" ht="12.75">
      <c r="A70" s="15">
        <v>17</v>
      </c>
      <c r="B70" s="30"/>
      <c r="D70" s="11"/>
      <c r="E70" s="20"/>
      <c r="F70" s="21"/>
      <c r="G70" s="8"/>
      <c r="I70" s="23">
        <f t="shared" si="13"/>
        <v>0</v>
      </c>
      <c r="J70" s="23">
        <f t="shared" si="14"/>
        <v>0</v>
      </c>
      <c r="K70" s="23">
        <f t="shared" si="15"/>
        <v>0</v>
      </c>
      <c r="L70" s="23">
        <f t="shared" si="16"/>
        <v>0</v>
      </c>
      <c r="M70" s="23">
        <f t="shared" si="17"/>
        <v>0</v>
      </c>
    </row>
    <row r="71" spans="1:13" ht="12.75">
      <c r="A71" s="15">
        <v>18</v>
      </c>
      <c r="B71" s="30"/>
      <c r="D71" s="11"/>
      <c r="E71" s="20"/>
      <c r="F71" s="21"/>
      <c r="G71" s="8"/>
      <c r="I71" s="23">
        <f t="shared" si="13"/>
        <v>0</v>
      </c>
      <c r="J71" s="23">
        <f t="shared" si="14"/>
        <v>0</v>
      </c>
      <c r="K71" s="23">
        <f t="shared" si="15"/>
        <v>0</v>
      </c>
      <c r="L71" s="23">
        <f t="shared" si="16"/>
        <v>0</v>
      </c>
      <c r="M71" s="23">
        <f t="shared" si="17"/>
        <v>0</v>
      </c>
    </row>
    <row r="72" spans="1:13" ht="12.75">
      <c r="A72" s="15">
        <v>19</v>
      </c>
      <c r="B72" s="30"/>
      <c r="D72" s="11"/>
      <c r="E72" s="20"/>
      <c r="F72" s="21"/>
      <c r="G72" s="8"/>
      <c r="I72" s="23">
        <f t="shared" si="13"/>
        <v>0</v>
      </c>
      <c r="J72" s="23">
        <f t="shared" si="14"/>
        <v>0</v>
      </c>
      <c r="K72" s="23">
        <f t="shared" si="15"/>
        <v>0</v>
      </c>
      <c r="L72" s="23">
        <f t="shared" si="16"/>
        <v>0</v>
      </c>
      <c r="M72" s="23">
        <f t="shared" si="17"/>
        <v>0</v>
      </c>
    </row>
    <row r="73" spans="9:13" ht="7.5" customHeight="1">
      <c r="I73" s="22"/>
      <c r="J73" s="22"/>
      <c r="K73" s="22"/>
      <c r="L73" s="22"/>
      <c r="M73" s="22"/>
    </row>
    <row r="74" spans="9:13" ht="12.75">
      <c r="I74" s="24">
        <f>+SUM(I54:I73)</f>
        <v>16.45</v>
      </c>
      <c r="J74" s="24">
        <f>+SUM(J54:J73)</f>
        <v>3.15</v>
      </c>
      <c r="K74" s="24">
        <f>+SUM(K54:K73)</f>
        <v>1.05</v>
      </c>
      <c r="L74" s="24">
        <f>+SUM(L54:L73)</f>
        <v>0.6000000000000001</v>
      </c>
      <c r="M74" s="24">
        <f>+SUM(M54:M73)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89" t="s">
        <v>492</v>
      </c>
      <c r="C5" s="11" t="s">
        <v>40</v>
      </c>
      <c r="D5" s="11" t="s">
        <v>27</v>
      </c>
      <c r="E5" s="20" t="s">
        <v>441</v>
      </c>
      <c r="F5" s="23">
        <v>12.75</v>
      </c>
      <c r="G5" s="20">
        <v>2019</v>
      </c>
      <c r="I5" s="23">
        <f aca="true" t="shared" si="0" ref="I5:M14">+IF($G5&gt;=I$3,$F5,0)</f>
        <v>12.75</v>
      </c>
      <c r="J5" s="23">
        <f t="shared" si="0"/>
        <v>12.75</v>
      </c>
      <c r="K5" s="23">
        <f t="shared" si="0"/>
        <v>12.75</v>
      </c>
      <c r="L5" s="23">
        <f t="shared" si="0"/>
        <v>12.75</v>
      </c>
      <c r="M5" s="23">
        <f t="shared" si="0"/>
        <v>12.75</v>
      </c>
    </row>
    <row r="6" spans="1:13" ht="12.75">
      <c r="A6" s="15">
        <v>2</v>
      </c>
      <c r="B6" s="54" t="s">
        <v>448</v>
      </c>
      <c r="C6" s="11" t="s">
        <v>15</v>
      </c>
      <c r="D6" s="11" t="s">
        <v>52</v>
      </c>
      <c r="E6" s="20" t="s">
        <v>441</v>
      </c>
      <c r="F6" s="21">
        <v>14.45</v>
      </c>
      <c r="G6" s="17">
        <v>2019</v>
      </c>
      <c r="I6" s="23">
        <f t="shared" si="0"/>
        <v>14.45</v>
      </c>
      <c r="J6" s="23">
        <f t="shared" si="0"/>
        <v>14.45</v>
      </c>
      <c r="K6" s="23">
        <f t="shared" si="0"/>
        <v>14.45</v>
      </c>
      <c r="L6" s="23">
        <f t="shared" si="0"/>
        <v>14.45</v>
      </c>
      <c r="M6" s="23">
        <f t="shared" si="0"/>
        <v>14.45</v>
      </c>
    </row>
    <row r="7" spans="1:13" ht="12.75">
      <c r="A7" s="15">
        <v>3</v>
      </c>
      <c r="B7" s="89" t="s">
        <v>450</v>
      </c>
      <c r="C7" s="11" t="s">
        <v>17</v>
      </c>
      <c r="D7" s="11" t="s">
        <v>28</v>
      </c>
      <c r="E7" s="20" t="s">
        <v>441</v>
      </c>
      <c r="F7" s="21">
        <v>31.25</v>
      </c>
      <c r="G7" s="8">
        <v>2018</v>
      </c>
      <c r="I7" s="23">
        <f t="shared" si="0"/>
        <v>31.25</v>
      </c>
      <c r="J7" s="23">
        <f t="shared" si="0"/>
        <v>31.25</v>
      </c>
      <c r="K7" s="23">
        <f t="shared" si="0"/>
        <v>31.25</v>
      </c>
      <c r="L7" s="23">
        <f t="shared" si="0"/>
        <v>31.25</v>
      </c>
      <c r="M7" s="23">
        <f t="shared" si="0"/>
        <v>0</v>
      </c>
    </row>
    <row r="8" spans="1:13" ht="12.75">
      <c r="A8" s="15">
        <v>4</v>
      </c>
      <c r="B8" s="89" t="s">
        <v>451</v>
      </c>
      <c r="C8" s="11" t="s">
        <v>37</v>
      </c>
      <c r="D8" s="11" t="s">
        <v>45</v>
      </c>
      <c r="E8" s="20" t="s">
        <v>441</v>
      </c>
      <c r="F8" s="21">
        <v>15.55</v>
      </c>
      <c r="G8" s="8">
        <v>2018</v>
      </c>
      <c r="I8" s="23">
        <f t="shared" si="0"/>
        <v>15.55</v>
      </c>
      <c r="J8" s="23">
        <f t="shared" si="0"/>
        <v>15.55</v>
      </c>
      <c r="K8" s="23">
        <f t="shared" si="0"/>
        <v>15.55</v>
      </c>
      <c r="L8" s="23">
        <f t="shared" si="0"/>
        <v>15.55</v>
      </c>
      <c r="M8" s="23">
        <f t="shared" si="0"/>
        <v>0</v>
      </c>
    </row>
    <row r="9" spans="1:13" ht="12.75">
      <c r="A9" s="15">
        <v>5</v>
      </c>
      <c r="B9" s="89" t="s">
        <v>491</v>
      </c>
      <c r="C9" s="11" t="s">
        <v>17</v>
      </c>
      <c r="D9" s="56" t="s">
        <v>32</v>
      </c>
      <c r="E9" s="20" t="s">
        <v>441</v>
      </c>
      <c r="F9" s="23">
        <v>10.25</v>
      </c>
      <c r="G9" s="20">
        <v>2018</v>
      </c>
      <c r="I9" s="23">
        <f t="shared" si="0"/>
        <v>10.25</v>
      </c>
      <c r="J9" s="23">
        <f t="shared" si="0"/>
        <v>10.25</v>
      </c>
      <c r="K9" s="23">
        <f t="shared" si="0"/>
        <v>10.25</v>
      </c>
      <c r="L9" s="23">
        <f t="shared" si="0"/>
        <v>10.25</v>
      </c>
      <c r="M9" s="23">
        <f t="shared" si="0"/>
        <v>0</v>
      </c>
    </row>
    <row r="10" spans="1:13" ht="12.75">
      <c r="A10" s="15">
        <v>6</v>
      </c>
      <c r="B10" s="89" t="s">
        <v>452</v>
      </c>
      <c r="C10" s="11" t="s">
        <v>31</v>
      </c>
      <c r="D10" s="11" t="s">
        <v>42</v>
      </c>
      <c r="E10" s="20" t="s">
        <v>441</v>
      </c>
      <c r="F10" s="21">
        <v>12.25</v>
      </c>
      <c r="G10" s="8">
        <v>2017</v>
      </c>
      <c r="I10" s="23">
        <f t="shared" si="0"/>
        <v>12.25</v>
      </c>
      <c r="J10" s="23">
        <f t="shared" si="0"/>
        <v>12.25</v>
      </c>
      <c r="K10" s="23">
        <f t="shared" si="0"/>
        <v>12.25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89" t="s">
        <v>493</v>
      </c>
      <c r="C11" s="11" t="s">
        <v>37</v>
      </c>
      <c r="D11" s="56" t="s">
        <v>22</v>
      </c>
      <c r="E11" s="20" t="s">
        <v>441</v>
      </c>
      <c r="F11" s="21">
        <v>11.5</v>
      </c>
      <c r="G11" s="8">
        <v>2016</v>
      </c>
      <c r="I11" s="23">
        <f t="shared" si="0"/>
        <v>11.5</v>
      </c>
      <c r="J11" s="23">
        <f t="shared" si="0"/>
        <v>11.5</v>
      </c>
      <c r="K11" s="23">
        <f t="shared" si="0"/>
        <v>0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89" t="s">
        <v>380</v>
      </c>
      <c r="C12" s="11" t="s">
        <v>37</v>
      </c>
      <c r="D12" s="56" t="s">
        <v>52</v>
      </c>
      <c r="E12" s="20" t="s">
        <v>441</v>
      </c>
      <c r="F12" s="21">
        <v>11.2</v>
      </c>
      <c r="G12" s="8">
        <v>2016</v>
      </c>
      <c r="I12" s="23">
        <f t="shared" si="0"/>
        <v>11.2</v>
      </c>
      <c r="J12" s="23">
        <f t="shared" si="0"/>
        <v>11.2</v>
      </c>
      <c r="K12" s="23">
        <f t="shared" si="0"/>
        <v>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54" t="s">
        <v>371</v>
      </c>
      <c r="C13" s="11" t="s">
        <v>19</v>
      </c>
      <c r="D13" s="56" t="s">
        <v>88</v>
      </c>
      <c r="E13" s="57" t="s">
        <v>47</v>
      </c>
      <c r="F13" s="23">
        <v>5.5</v>
      </c>
      <c r="G13" s="8">
        <v>2016</v>
      </c>
      <c r="I13" s="23">
        <f t="shared" si="0"/>
        <v>5.5</v>
      </c>
      <c r="J13" s="23">
        <f t="shared" si="0"/>
        <v>5.5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89" t="s">
        <v>580</v>
      </c>
      <c r="C14" s="56" t="s">
        <v>18</v>
      </c>
      <c r="D14" s="56" t="s">
        <v>27</v>
      </c>
      <c r="E14" s="57" t="s">
        <v>441</v>
      </c>
      <c r="F14" s="21">
        <v>2.7</v>
      </c>
      <c r="G14" s="8">
        <v>2016</v>
      </c>
      <c r="I14" s="23">
        <f t="shared" si="0"/>
        <v>2.7</v>
      </c>
      <c r="J14" s="23">
        <f t="shared" si="0"/>
        <v>2.7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89" t="s">
        <v>569</v>
      </c>
      <c r="C15" s="56" t="s">
        <v>17</v>
      </c>
      <c r="D15" s="56" t="s">
        <v>42</v>
      </c>
      <c r="E15" s="57" t="s">
        <v>441</v>
      </c>
      <c r="F15" s="21">
        <v>2.55</v>
      </c>
      <c r="G15" s="8">
        <v>2016</v>
      </c>
      <c r="I15" s="23">
        <f aca="true" t="shared" si="1" ref="I15:M24">+IF($G15&gt;=I$3,$F15,0)</f>
        <v>2.55</v>
      </c>
      <c r="J15" s="23">
        <f t="shared" si="1"/>
        <v>2.55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89" t="s">
        <v>557</v>
      </c>
      <c r="C16" s="56" t="s">
        <v>19</v>
      </c>
      <c r="D16" s="56" t="s">
        <v>32</v>
      </c>
      <c r="E16" s="57" t="s">
        <v>441</v>
      </c>
      <c r="F16" s="21">
        <v>1.7</v>
      </c>
      <c r="G16" s="8">
        <v>2016</v>
      </c>
      <c r="I16" s="23">
        <f t="shared" si="1"/>
        <v>1.7</v>
      </c>
      <c r="J16" s="23">
        <f t="shared" si="1"/>
        <v>1.7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35" t="s">
        <v>336</v>
      </c>
      <c r="C17" s="11" t="s">
        <v>19</v>
      </c>
      <c r="D17" s="11" t="s">
        <v>16</v>
      </c>
      <c r="E17" s="20" t="s">
        <v>47</v>
      </c>
      <c r="F17" s="21">
        <v>1.3</v>
      </c>
      <c r="G17" s="8">
        <v>2016</v>
      </c>
      <c r="I17" s="23">
        <f t="shared" si="1"/>
        <v>1.3</v>
      </c>
      <c r="J17" s="23">
        <f t="shared" si="1"/>
        <v>1.3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35" t="s">
        <v>115</v>
      </c>
      <c r="C18" s="11" t="s">
        <v>26</v>
      </c>
      <c r="D18" s="11" t="s">
        <v>39</v>
      </c>
      <c r="E18" s="20" t="s">
        <v>47</v>
      </c>
      <c r="F18" s="21">
        <v>17.55</v>
      </c>
      <c r="G18" s="8">
        <v>2015</v>
      </c>
      <c r="I18" s="23">
        <f t="shared" si="1"/>
        <v>17.55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4" t="s">
        <v>123</v>
      </c>
      <c r="C19" s="11" t="s">
        <v>17</v>
      </c>
      <c r="D19" s="11" t="s">
        <v>439</v>
      </c>
      <c r="E19" s="20" t="s">
        <v>47</v>
      </c>
      <c r="F19" s="21">
        <v>13.75</v>
      </c>
      <c r="G19" s="8">
        <v>2015</v>
      </c>
      <c r="I19" s="23">
        <f t="shared" si="1"/>
        <v>13.75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89" t="s">
        <v>494</v>
      </c>
      <c r="C20" s="11" t="s">
        <v>19</v>
      </c>
      <c r="D20" s="11" t="s">
        <v>45</v>
      </c>
      <c r="E20" s="20" t="s">
        <v>441</v>
      </c>
      <c r="F20" s="21">
        <v>9.45</v>
      </c>
      <c r="G20" s="8">
        <v>2015</v>
      </c>
      <c r="I20" s="23">
        <f t="shared" si="1"/>
        <v>9.45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35" t="s">
        <v>134</v>
      </c>
      <c r="C21" s="56" t="s">
        <v>17</v>
      </c>
      <c r="D21" s="56" t="s">
        <v>28</v>
      </c>
      <c r="E21" s="20" t="s">
        <v>47</v>
      </c>
      <c r="F21" s="21">
        <v>3.85</v>
      </c>
      <c r="G21" s="8">
        <v>2015</v>
      </c>
      <c r="I21" s="23">
        <f t="shared" si="1"/>
        <v>3.85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89" t="s">
        <v>698</v>
      </c>
      <c r="C22" s="11" t="s">
        <v>17</v>
      </c>
      <c r="D22" s="11" t="s">
        <v>27</v>
      </c>
      <c r="E22" s="20" t="s">
        <v>594</v>
      </c>
      <c r="F22" s="21">
        <v>1.7</v>
      </c>
      <c r="G22" s="8">
        <v>2015</v>
      </c>
      <c r="I22" s="23">
        <f t="shared" si="1"/>
        <v>1.7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89" t="s">
        <v>553</v>
      </c>
      <c r="C23" s="11" t="s">
        <v>19</v>
      </c>
      <c r="D23" s="58" t="s">
        <v>45</v>
      </c>
      <c r="E23" s="20" t="s">
        <v>441</v>
      </c>
      <c r="F23" s="21">
        <v>1.7</v>
      </c>
      <c r="G23" s="8">
        <v>2015</v>
      </c>
      <c r="I23" s="23">
        <f t="shared" si="1"/>
        <v>1.7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89" t="s">
        <v>668</v>
      </c>
      <c r="C24" s="11" t="s">
        <v>37</v>
      </c>
      <c r="D24" s="11" t="s">
        <v>39</v>
      </c>
      <c r="E24" s="20" t="s">
        <v>594</v>
      </c>
      <c r="F24" s="21">
        <v>1.7</v>
      </c>
      <c r="G24" s="8">
        <v>2015</v>
      </c>
      <c r="I24" s="23">
        <f t="shared" si="1"/>
        <v>1.7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89" t="s">
        <v>677</v>
      </c>
      <c r="C25" s="11" t="s">
        <v>40</v>
      </c>
      <c r="D25" s="56" t="s">
        <v>44</v>
      </c>
      <c r="E25" s="20" t="s">
        <v>594</v>
      </c>
      <c r="F25" s="21">
        <v>1.7</v>
      </c>
      <c r="G25" s="8">
        <v>2015</v>
      </c>
      <c r="I25" s="23">
        <f aca="true" t="shared" si="2" ref="I25:M32">+IF($G25&gt;=I$3,$F25,0)</f>
        <v>1.7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89" t="s">
        <v>601</v>
      </c>
      <c r="C26" s="56" t="s">
        <v>26</v>
      </c>
      <c r="D26" s="56" t="s">
        <v>27</v>
      </c>
      <c r="E26" s="57" t="s">
        <v>594</v>
      </c>
      <c r="F26" s="21">
        <v>1.7</v>
      </c>
      <c r="G26" s="8">
        <v>2015</v>
      </c>
      <c r="I26" s="23">
        <f t="shared" si="2"/>
        <v>1.7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4" t="s">
        <v>742</v>
      </c>
      <c r="C27" s="56" t="s">
        <v>37</v>
      </c>
      <c r="D27" s="56" t="s">
        <v>52</v>
      </c>
      <c r="E27" s="57" t="s">
        <v>594</v>
      </c>
      <c r="F27" s="21">
        <v>1.7</v>
      </c>
      <c r="G27" s="8">
        <v>2015</v>
      </c>
      <c r="I27" s="23">
        <f t="shared" si="2"/>
        <v>1.7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5"/>
      <c r="D28" s="56"/>
      <c r="E28" s="20"/>
      <c r="F28" s="21"/>
      <c r="G28" s="8"/>
      <c r="I28" s="23">
        <f t="shared" si="2"/>
        <v>0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89"/>
      <c r="C29" s="56"/>
      <c r="D29" s="56"/>
      <c r="E29" s="20"/>
      <c r="F29" s="21"/>
      <c r="G29" s="8"/>
      <c r="I29" s="23">
        <f t="shared" si="2"/>
        <v>0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89"/>
      <c r="C30" s="56"/>
      <c r="D30" s="56"/>
      <c r="E30" s="57"/>
      <c r="F30" s="21"/>
      <c r="G30" s="8"/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89"/>
      <c r="D31" s="11"/>
      <c r="E31" s="20"/>
      <c r="F31" s="21"/>
      <c r="G31" s="8"/>
      <c r="I31" s="23">
        <f t="shared" si="2"/>
        <v>0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35"/>
      <c r="D32" s="11"/>
      <c r="E32" s="20"/>
      <c r="F32" s="21"/>
      <c r="G32" s="8"/>
      <c r="I32" s="23">
        <f t="shared" si="2"/>
        <v>0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4:13" ht="12.75">
      <c r="D34" s="11"/>
      <c r="E34" s="11"/>
      <c r="F34" s="16"/>
      <c r="G34" s="17"/>
      <c r="I34" s="24">
        <f>+SUM(I5:I32)</f>
        <v>187.74999999999994</v>
      </c>
      <c r="J34" s="24">
        <f>+SUM(J5:J32)</f>
        <v>132.95000000000002</v>
      </c>
      <c r="K34" s="24">
        <f>+SUM(K5:K32)</f>
        <v>96.5</v>
      </c>
      <c r="L34" s="24">
        <f>+SUM(L5:L32)</f>
        <v>84.25</v>
      </c>
      <c r="M34" s="24">
        <f>+SUM(M5:M32)</f>
        <v>27.2</v>
      </c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2015</v>
      </c>
      <c r="J38" s="14">
        <f>+J$3</f>
        <v>2016</v>
      </c>
      <c r="K38" s="14">
        <f>+K$3</f>
        <v>2017</v>
      </c>
      <c r="L38" s="14">
        <f>+L$3</f>
        <v>2018</v>
      </c>
      <c r="M38" s="14">
        <f>+M$3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22" t="s">
        <v>524</v>
      </c>
      <c r="C40" s="11" t="s">
        <v>40</v>
      </c>
      <c r="D40" s="11" t="s">
        <v>27</v>
      </c>
      <c r="E40" s="20" t="s">
        <v>441</v>
      </c>
      <c r="F40" s="21">
        <v>7.95</v>
      </c>
      <c r="G40" s="8">
        <v>2019</v>
      </c>
      <c r="I40" s="23">
        <f aca="true" t="shared" si="3" ref="I40:I45">+CEILING(IF($I$38&lt;=G40,F40*0.3,0),0.05)</f>
        <v>2.4000000000000004</v>
      </c>
      <c r="J40" s="23">
        <f aca="true" t="shared" si="4" ref="J40:J45">+CEILING(IF($J$38&lt;=G40,F40*0.3,0),0.05)</f>
        <v>2.4000000000000004</v>
      </c>
      <c r="K40" s="23">
        <f aca="true" t="shared" si="5" ref="K40:K45">+CEILING(IF($K$38&lt;=G40,F40*0.3,0),0.05)</f>
        <v>2.4000000000000004</v>
      </c>
      <c r="L40" s="23">
        <f aca="true" t="shared" si="6" ref="L40:L45">+CEILING(IF($L$38&lt;=G40,F40*0.3,0),0.05)</f>
        <v>2.4000000000000004</v>
      </c>
      <c r="M40" s="23">
        <f aca="true" t="shared" si="7" ref="M40:M45">+CEILING(IF($M$38&lt;=G40,F40*0.3,0),0.05)</f>
        <v>2.4000000000000004</v>
      </c>
    </row>
    <row r="41" spans="1:13" ht="12.75">
      <c r="A41" s="15">
        <v>2</v>
      </c>
      <c r="B41" s="89" t="s">
        <v>588</v>
      </c>
      <c r="C41" s="56" t="s">
        <v>37</v>
      </c>
      <c r="D41" s="56" t="s">
        <v>21</v>
      </c>
      <c r="E41" s="57" t="s">
        <v>441</v>
      </c>
      <c r="F41" s="21">
        <v>1.7</v>
      </c>
      <c r="G41" s="8">
        <v>2019</v>
      </c>
      <c r="I41" s="23">
        <f t="shared" si="3"/>
        <v>0.55</v>
      </c>
      <c r="J41" s="23">
        <f t="shared" si="4"/>
        <v>0.55</v>
      </c>
      <c r="K41" s="23">
        <f t="shared" si="5"/>
        <v>0.55</v>
      </c>
      <c r="L41" s="23">
        <f t="shared" si="6"/>
        <v>0.55</v>
      </c>
      <c r="M41" s="23">
        <f t="shared" si="7"/>
        <v>0.55</v>
      </c>
    </row>
    <row r="42" spans="1:13" ht="12.75">
      <c r="A42" s="15">
        <v>3</v>
      </c>
      <c r="B42" s="89" t="s">
        <v>394</v>
      </c>
      <c r="C42" s="11" t="s">
        <v>15</v>
      </c>
      <c r="D42" s="56" t="s">
        <v>25</v>
      </c>
      <c r="E42" s="20" t="s">
        <v>437</v>
      </c>
      <c r="F42" s="21">
        <v>1.8</v>
      </c>
      <c r="G42" s="8">
        <v>2018</v>
      </c>
      <c r="I42" s="23">
        <f t="shared" si="3"/>
        <v>0.55</v>
      </c>
      <c r="J42" s="23">
        <f t="shared" si="4"/>
        <v>0.55</v>
      </c>
      <c r="K42" s="23">
        <f t="shared" si="5"/>
        <v>0.55</v>
      </c>
      <c r="L42" s="23">
        <f t="shared" si="6"/>
        <v>0.55</v>
      </c>
      <c r="M42" s="23">
        <f t="shared" si="7"/>
        <v>0</v>
      </c>
    </row>
    <row r="43" spans="1:13" ht="12.75">
      <c r="A43" s="15">
        <v>4</v>
      </c>
      <c r="B43" s="54" t="s">
        <v>180</v>
      </c>
      <c r="C43" s="11" t="s">
        <v>17</v>
      </c>
      <c r="D43" s="11" t="s">
        <v>22</v>
      </c>
      <c r="E43" s="20" t="s">
        <v>434</v>
      </c>
      <c r="F43" s="21">
        <v>8.1</v>
      </c>
      <c r="G43" s="8">
        <v>2016</v>
      </c>
      <c r="I43" s="23">
        <f t="shared" si="3"/>
        <v>2.45</v>
      </c>
      <c r="J43" s="23">
        <f t="shared" si="4"/>
        <v>2.45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35" t="s">
        <v>228</v>
      </c>
      <c r="C44" s="11" t="s">
        <v>40</v>
      </c>
      <c r="D44" s="56" t="s">
        <v>43</v>
      </c>
      <c r="E44" s="20" t="s">
        <v>434</v>
      </c>
      <c r="F44" s="21">
        <v>1.3</v>
      </c>
      <c r="G44" s="8">
        <v>2016</v>
      </c>
      <c r="I44" s="23">
        <f t="shared" si="3"/>
        <v>0.4</v>
      </c>
      <c r="J44" s="23">
        <f t="shared" si="4"/>
        <v>0.4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55" t="s">
        <v>171</v>
      </c>
      <c r="C45" s="11" t="s">
        <v>17</v>
      </c>
      <c r="D45" s="11" t="s">
        <v>21</v>
      </c>
      <c r="E45" s="20" t="s">
        <v>434</v>
      </c>
      <c r="F45" s="21">
        <v>6.25</v>
      </c>
      <c r="G45" s="8">
        <v>2016</v>
      </c>
      <c r="I45" s="23">
        <f t="shared" si="3"/>
        <v>1.9000000000000001</v>
      </c>
      <c r="J45" s="23">
        <f t="shared" si="4"/>
        <v>1.9000000000000001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7.5" customHeight="1">
      <c r="A46" s="15"/>
      <c r="I46" s="19"/>
      <c r="J46" s="19"/>
      <c r="K46" s="19"/>
      <c r="L46" s="19"/>
      <c r="M46" s="19"/>
    </row>
    <row r="47" spans="1:13" ht="12.75">
      <c r="A47" s="15"/>
      <c r="I47" s="19">
        <f>+SUM(I40:I46)</f>
        <v>8.25</v>
      </c>
      <c r="J47" s="19">
        <f>+SUM(J40:J46)</f>
        <v>8.25</v>
      </c>
      <c r="K47" s="19">
        <f>+SUM(K40:K46)</f>
        <v>3.5</v>
      </c>
      <c r="L47" s="19">
        <f>+SUM(L40:L46)</f>
        <v>3.5</v>
      </c>
      <c r="M47" s="19">
        <f>+SUM(M40:M46)</f>
        <v>2.95</v>
      </c>
    </row>
    <row r="49" spans="1:13" ht="15.75">
      <c r="A49" s="140" t="s">
        <v>49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</row>
    <row r="50" ht="7.5" customHeight="1"/>
    <row r="51" spans="2:13" ht="12.75">
      <c r="B51" s="12" t="s">
        <v>1</v>
      </c>
      <c r="C51" s="13" t="s">
        <v>13</v>
      </c>
      <c r="D51" s="13" t="s">
        <v>4</v>
      </c>
      <c r="E51" s="13" t="s">
        <v>6</v>
      </c>
      <c r="F51" s="13" t="s">
        <v>3</v>
      </c>
      <c r="G51" s="13" t="s">
        <v>14</v>
      </c>
      <c r="I51" s="14">
        <f>+I$3</f>
        <v>2015</v>
      </c>
      <c r="J51" s="14">
        <f>+J$3</f>
        <v>2016</v>
      </c>
      <c r="K51" s="14">
        <f>+K$3</f>
        <v>2017</v>
      </c>
      <c r="L51" s="14">
        <f>+L$3</f>
        <v>2018</v>
      </c>
      <c r="M51" s="14">
        <f>+M$3</f>
        <v>2019</v>
      </c>
    </row>
    <row r="52" spans="2:6" ht="7.5" customHeight="1">
      <c r="B52" s="12"/>
      <c r="C52" s="14"/>
      <c r="E52" s="14"/>
      <c r="F52" s="14"/>
    </row>
    <row r="53" spans="1:13" ht="12.75">
      <c r="A53" s="15">
        <v>1</v>
      </c>
      <c r="B53" s="35" t="s">
        <v>300</v>
      </c>
      <c r="C53" s="11" t="s">
        <v>17</v>
      </c>
      <c r="D53" s="56" t="s">
        <v>21</v>
      </c>
      <c r="E53" s="20">
        <v>2014</v>
      </c>
      <c r="F53" s="21">
        <v>4.2</v>
      </c>
      <c r="G53" s="8">
        <v>2016</v>
      </c>
      <c r="I53" s="23">
        <f aca="true" t="shared" si="8" ref="I53:I58">+CEILING(IF($I$51=E53,F53,IF($I$51&lt;=G53,F53*0.3,0)),0.05)</f>
        <v>1.3</v>
      </c>
      <c r="J53" s="23">
        <f aca="true" t="shared" si="9" ref="J53:J58">+CEILING(IF($J$51&lt;=G53,F53*0.3,0),0.05)</f>
        <v>1.3</v>
      </c>
      <c r="K53" s="23">
        <f aca="true" t="shared" si="10" ref="K53:K58">+CEILING(IF($K$51&lt;=G53,F53*0.3,0),0.05)</f>
        <v>0</v>
      </c>
      <c r="L53" s="23">
        <f aca="true" t="shared" si="11" ref="L53:L58">+CEILING(IF($L$51&lt;=G53,F53*0.3,0),0.05)</f>
        <v>0</v>
      </c>
      <c r="M53" s="23">
        <f aca="true" t="shared" si="12" ref="M53:M58">CEILING(IF($M$51&lt;=G53,F53*0.3,0),0.05)</f>
        <v>0</v>
      </c>
    </row>
    <row r="54" spans="1:13" ht="12.75">
      <c r="A54" s="15">
        <v>2</v>
      </c>
      <c r="B54" s="49" t="s">
        <v>337</v>
      </c>
      <c r="C54" s="56" t="s">
        <v>17</v>
      </c>
      <c r="D54" s="11" t="s">
        <v>51</v>
      </c>
      <c r="E54" s="20">
        <v>2013</v>
      </c>
      <c r="F54" s="21">
        <v>5.4</v>
      </c>
      <c r="G54" s="8">
        <v>2015</v>
      </c>
      <c r="I54" s="23">
        <f t="shared" si="8"/>
        <v>1.6500000000000001</v>
      </c>
      <c r="J54" s="23">
        <f t="shared" si="9"/>
        <v>0</v>
      </c>
      <c r="K54" s="23">
        <f t="shared" si="10"/>
        <v>0</v>
      </c>
      <c r="L54" s="23">
        <f t="shared" si="11"/>
        <v>0</v>
      </c>
      <c r="M54" s="23">
        <f t="shared" si="12"/>
        <v>0</v>
      </c>
    </row>
    <row r="55" spans="1:13" ht="12.75">
      <c r="A55" s="15">
        <v>3</v>
      </c>
      <c r="B55" s="89" t="s">
        <v>212</v>
      </c>
      <c r="C55" s="56" t="s">
        <v>26</v>
      </c>
      <c r="D55" s="56" t="s">
        <v>45</v>
      </c>
      <c r="E55" s="57">
        <v>2015</v>
      </c>
      <c r="F55" s="21">
        <v>1.7</v>
      </c>
      <c r="G55" s="8">
        <v>2015</v>
      </c>
      <c r="I55" s="23">
        <f t="shared" si="8"/>
        <v>1.7000000000000002</v>
      </c>
      <c r="J55" s="23">
        <f t="shared" si="9"/>
        <v>0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4</v>
      </c>
      <c r="B56" s="54" t="s">
        <v>742</v>
      </c>
      <c r="C56" s="56" t="s">
        <v>37</v>
      </c>
      <c r="D56" s="56" t="s">
        <v>52</v>
      </c>
      <c r="E56" s="57">
        <v>2015</v>
      </c>
      <c r="F56" s="21">
        <v>1.7</v>
      </c>
      <c r="G56" s="8">
        <v>2015</v>
      </c>
      <c r="I56" s="23">
        <f t="shared" si="8"/>
        <v>1.7000000000000002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5</v>
      </c>
      <c r="B57" s="30"/>
      <c r="D57" s="11"/>
      <c r="E57" s="20"/>
      <c r="F57" s="21"/>
      <c r="G57" s="8"/>
      <c r="I57" s="23">
        <f t="shared" si="8"/>
        <v>0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6</v>
      </c>
      <c r="B58" s="22"/>
      <c r="D58" s="11"/>
      <c r="E58" s="20"/>
      <c r="F58" s="21"/>
      <c r="G58" s="8"/>
      <c r="I58" s="23">
        <f t="shared" si="8"/>
        <v>0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7</v>
      </c>
      <c r="B59" s="22"/>
      <c r="D59" s="11"/>
      <c r="E59" s="20"/>
      <c r="F59" s="21"/>
      <c r="G59" s="8"/>
      <c r="I59" s="23">
        <f>+CEILING(IF($I$51=E59,F59,IF($I$51&lt;=G59,F59*0.3,0)),0.05)</f>
        <v>0</v>
      </c>
      <c r="J59" s="23">
        <f>+CEILING(IF($J$51&lt;=G59,F59*0.3,0),0.05)</f>
        <v>0</v>
      </c>
      <c r="K59" s="23">
        <f>+CEILING(IF($K$51&lt;=G59,F59*0.3,0),0.05)</f>
        <v>0</v>
      </c>
      <c r="L59" s="23">
        <f>+CEILING(IF($L$51&lt;=G59,F59*0.3,0),0.05)</f>
        <v>0</v>
      </c>
      <c r="M59" s="23">
        <f>CEILING(IF($M$51&lt;=G59,F59*0.3,0),0.05)</f>
        <v>0</v>
      </c>
    </row>
    <row r="60" spans="1:13" ht="12.75">
      <c r="A60" s="15">
        <v>8</v>
      </c>
      <c r="B60" s="22"/>
      <c r="D60" s="11"/>
      <c r="E60" s="20"/>
      <c r="F60" s="21"/>
      <c r="G60" s="8"/>
      <c r="I60" s="23">
        <f>+CEILING(IF($I$51=E60,F60,IF($I$51&lt;=G60,F60*0.3,0)),0.05)</f>
        <v>0</v>
      </c>
      <c r="J60" s="23">
        <f>+CEILING(IF($J$51&lt;=G60,F60*0.3,0),0.05)</f>
        <v>0</v>
      </c>
      <c r="K60" s="23">
        <f>+CEILING(IF($K$51&lt;=G60,F60*0.3,0),0.05)</f>
        <v>0</v>
      </c>
      <c r="L60" s="23">
        <f>+CEILING(IF($L$51&lt;=G60,F60*0.3,0),0.05)</f>
        <v>0</v>
      </c>
      <c r="M60" s="23">
        <f>CEILING(IF($M$51&lt;=G60,F60*0.3,0),0.05)</f>
        <v>0</v>
      </c>
    </row>
    <row r="61" spans="1:13" ht="12.75">
      <c r="A61" s="15">
        <v>9</v>
      </c>
      <c r="B61" s="22"/>
      <c r="D61" s="11"/>
      <c r="E61" s="20"/>
      <c r="F61" s="21"/>
      <c r="G61" s="8"/>
      <c r="I61" s="23">
        <f>+CEILING(IF($I$51=E61,F61,IF($I$51&lt;=G61,F61*0.3,0)),0.05)</f>
        <v>0</v>
      </c>
      <c r="J61" s="23">
        <f>+CEILING(IF($J$51&lt;=G61,F61*0.3,0),0.05)</f>
        <v>0</v>
      </c>
      <c r="K61" s="23">
        <f>+CEILING(IF($K$51&lt;=G61,F61*0.3,0),0.05)</f>
        <v>0</v>
      </c>
      <c r="L61" s="23">
        <f>+CEILING(IF($L$51&lt;=G61,F61*0.3,0),0.05)</f>
        <v>0</v>
      </c>
      <c r="M61" s="23">
        <f>CEILING(IF($M$51&lt;=G61,F61*0.3,0),0.05)</f>
        <v>0</v>
      </c>
    </row>
    <row r="62" spans="1:13" ht="12.75">
      <c r="A62" s="15">
        <v>10</v>
      </c>
      <c r="B62" s="22"/>
      <c r="D62" s="11"/>
      <c r="E62" s="20"/>
      <c r="F62" s="21"/>
      <c r="G62" s="8"/>
      <c r="I62" s="23">
        <f>+CEILING(IF($I$51=E62,F62,IF($I$51&lt;=G62,F62*0.3,0)),0.05)</f>
        <v>0</v>
      </c>
      <c r="J62" s="23">
        <f>+CEILING(IF($J$51&lt;=G62,F62*0.3,0),0.05)</f>
        <v>0</v>
      </c>
      <c r="K62" s="23">
        <f>+CEILING(IF($K$51&lt;=G62,F62*0.3,0),0.05)</f>
        <v>0</v>
      </c>
      <c r="L62" s="23">
        <f>+CEILING(IF($L$51&lt;=G62,F62*0.3,0),0.05)</f>
        <v>0</v>
      </c>
      <c r="M62" s="23">
        <f>CEILING(IF($M$51&lt;=G62,F62*0.3,0),0.05)</f>
        <v>0</v>
      </c>
    </row>
    <row r="63" spans="9:13" ht="7.5" customHeight="1">
      <c r="I63" s="22"/>
      <c r="J63" s="22"/>
      <c r="K63" s="22"/>
      <c r="L63" s="22"/>
      <c r="M63" s="22"/>
    </row>
    <row r="64" spans="9:13" ht="12.75">
      <c r="I64" s="24">
        <f>+SUM(I53:I63)</f>
        <v>6.3500000000000005</v>
      </c>
      <c r="J64" s="24">
        <f>+SUM(J53:J63)</f>
        <v>1.3</v>
      </c>
      <c r="K64" s="24">
        <f>+SUM(K53:K63)</f>
        <v>0</v>
      </c>
      <c r="L64" s="24">
        <f>+SUM(L53:L63)</f>
        <v>0</v>
      </c>
      <c r="M64" s="24">
        <f>+SUM(M53:M63)</f>
        <v>0</v>
      </c>
    </row>
    <row r="65" spans="9:13" ht="12.75">
      <c r="I65" s="19"/>
      <c r="J65" s="19"/>
      <c r="K65" s="19"/>
      <c r="L65" s="19"/>
      <c r="M65" s="19"/>
    </row>
  </sheetData>
  <sheetProtection/>
  <mergeCells count="3">
    <mergeCell ref="A1:M1"/>
    <mergeCell ref="A36:M36"/>
    <mergeCell ref="A49:M4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42" t="s">
        <v>358</v>
      </c>
      <c r="C5" s="11" t="s">
        <v>17</v>
      </c>
      <c r="D5" s="11" t="s">
        <v>48</v>
      </c>
      <c r="E5" s="20" t="s">
        <v>437</v>
      </c>
      <c r="F5" s="21">
        <v>18.35</v>
      </c>
      <c r="G5" s="8">
        <v>2018</v>
      </c>
      <c r="I5" s="23">
        <f aca="true" t="shared" si="0" ref="I5:M14">+IF($G5&gt;=I$3,$F5,0)</f>
        <v>18.35</v>
      </c>
      <c r="J5" s="23">
        <f t="shared" si="0"/>
        <v>18.35</v>
      </c>
      <c r="K5" s="23">
        <f t="shared" si="0"/>
        <v>18.35</v>
      </c>
      <c r="L5" s="23">
        <f t="shared" si="0"/>
        <v>18.35</v>
      </c>
      <c r="M5" s="23">
        <f t="shared" si="0"/>
        <v>0</v>
      </c>
    </row>
    <row r="6" spans="1:13" ht="12.75">
      <c r="A6" s="15">
        <v>2</v>
      </c>
      <c r="B6" s="42" t="s">
        <v>237</v>
      </c>
      <c r="C6" s="11" t="s">
        <v>15</v>
      </c>
      <c r="D6" s="11" t="s">
        <v>48</v>
      </c>
      <c r="E6" s="20" t="s">
        <v>517</v>
      </c>
      <c r="F6" s="21">
        <v>17.5</v>
      </c>
      <c r="G6" s="9">
        <v>2017</v>
      </c>
      <c r="I6" s="23">
        <f t="shared" si="0"/>
        <v>17.5</v>
      </c>
      <c r="J6" s="23">
        <f t="shared" si="0"/>
        <v>17.5</v>
      </c>
      <c r="K6" s="23">
        <f t="shared" si="0"/>
        <v>17.5</v>
      </c>
      <c r="L6" s="23">
        <f t="shared" si="0"/>
        <v>0</v>
      </c>
      <c r="M6" s="23">
        <f t="shared" si="0"/>
        <v>0</v>
      </c>
    </row>
    <row r="7" spans="1:13" ht="12.75">
      <c r="A7" s="15">
        <v>3</v>
      </c>
      <c r="B7" s="42" t="s">
        <v>174</v>
      </c>
      <c r="C7" s="11" t="s">
        <v>19</v>
      </c>
      <c r="D7" s="11" t="s">
        <v>44</v>
      </c>
      <c r="E7" s="20" t="s">
        <v>518</v>
      </c>
      <c r="F7" s="21">
        <v>19</v>
      </c>
      <c r="G7" s="8">
        <v>2016</v>
      </c>
      <c r="I7" s="23">
        <f t="shared" si="0"/>
        <v>19</v>
      </c>
      <c r="J7" s="23">
        <f t="shared" si="0"/>
        <v>19</v>
      </c>
      <c r="K7" s="23">
        <f t="shared" si="0"/>
        <v>0</v>
      </c>
      <c r="L7" s="23">
        <f t="shared" si="0"/>
        <v>0</v>
      </c>
      <c r="M7" s="23">
        <f t="shared" si="0"/>
        <v>0</v>
      </c>
    </row>
    <row r="8" spans="1:13" ht="12.75">
      <c r="A8" s="15">
        <v>4</v>
      </c>
      <c r="B8" s="42" t="s">
        <v>176</v>
      </c>
      <c r="C8" s="11" t="s">
        <v>19</v>
      </c>
      <c r="D8" s="56" t="s">
        <v>28</v>
      </c>
      <c r="E8" s="20" t="s">
        <v>518</v>
      </c>
      <c r="F8" s="21">
        <v>11.25</v>
      </c>
      <c r="G8" s="8">
        <v>2016</v>
      </c>
      <c r="I8" s="23">
        <f t="shared" si="0"/>
        <v>11.25</v>
      </c>
      <c r="J8" s="23">
        <f t="shared" si="0"/>
        <v>11.25</v>
      </c>
      <c r="K8" s="23">
        <f t="shared" si="0"/>
        <v>0</v>
      </c>
      <c r="L8" s="23">
        <f t="shared" si="0"/>
        <v>0</v>
      </c>
      <c r="M8" s="23">
        <f t="shared" si="0"/>
        <v>0</v>
      </c>
    </row>
    <row r="9" spans="1:13" ht="12.75">
      <c r="A9" s="15">
        <v>5</v>
      </c>
      <c r="B9" s="42" t="s">
        <v>299</v>
      </c>
      <c r="C9" s="11" t="s">
        <v>17</v>
      </c>
      <c r="D9" s="11" t="s">
        <v>33</v>
      </c>
      <c r="E9" s="20" t="s">
        <v>47</v>
      </c>
      <c r="F9" s="21">
        <v>6.5</v>
      </c>
      <c r="G9" s="8">
        <v>2016</v>
      </c>
      <c r="I9" s="23">
        <f t="shared" si="0"/>
        <v>6.5</v>
      </c>
      <c r="J9" s="23">
        <f t="shared" si="0"/>
        <v>6.5</v>
      </c>
      <c r="K9" s="23">
        <f t="shared" si="0"/>
        <v>0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42" t="s">
        <v>201</v>
      </c>
      <c r="C10" s="11" t="s">
        <v>19</v>
      </c>
      <c r="D10" s="11" t="s">
        <v>25</v>
      </c>
      <c r="E10" s="20" t="s">
        <v>518</v>
      </c>
      <c r="F10" s="21">
        <v>4.35</v>
      </c>
      <c r="G10" s="8">
        <v>2016</v>
      </c>
      <c r="I10" s="23">
        <f t="shared" si="0"/>
        <v>4.35</v>
      </c>
      <c r="J10" s="23">
        <f t="shared" si="0"/>
        <v>4.35</v>
      </c>
      <c r="K10" s="23">
        <f t="shared" si="0"/>
        <v>0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54" t="s">
        <v>362</v>
      </c>
      <c r="C11" s="11" t="s">
        <v>40</v>
      </c>
      <c r="D11" s="56" t="s">
        <v>38</v>
      </c>
      <c r="E11" s="57" t="s">
        <v>47</v>
      </c>
      <c r="F11" s="21">
        <v>1.55</v>
      </c>
      <c r="G11" s="8">
        <v>2016</v>
      </c>
      <c r="I11" s="23">
        <f t="shared" si="0"/>
        <v>1.55</v>
      </c>
      <c r="J11" s="23">
        <f t="shared" si="0"/>
        <v>1.55</v>
      </c>
      <c r="K11" s="23">
        <f t="shared" si="0"/>
        <v>0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10" t="s">
        <v>136</v>
      </c>
      <c r="C12" s="11" t="s">
        <v>17</v>
      </c>
      <c r="D12" s="11" t="s">
        <v>51</v>
      </c>
      <c r="E12" s="56" t="s">
        <v>433</v>
      </c>
      <c r="F12" s="25">
        <v>8.1</v>
      </c>
      <c r="G12" s="11">
        <v>2015</v>
      </c>
      <c r="I12" s="23">
        <f t="shared" si="0"/>
        <v>8.1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42" t="s">
        <v>103</v>
      </c>
      <c r="C13" s="20" t="s">
        <v>18</v>
      </c>
      <c r="D13" s="20" t="s">
        <v>43</v>
      </c>
      <c r="E13" s="20" t="s">
        <v>47</v>
      </c>
      <c r="F13" s="21">
        <v>8.05</v>
      </c>
      <c r="G13" s="8">
        <v>2015</v>
      </c>
      <c r="I13" s="23">
        <f t="shared" si="0"/>
        <v>8.05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55" t="s">
        <v>238</v>
      </c>
      <c r="C14" s="11" t="s">
        <v>37</v>
      </c>
      <c r="D14" s="11" t="s">
        <v>28</v>
      </c>
      <c r="E14" s="20" t="s">
        <v>47</v>
      </c>
      <c r="F14" s="21">
        <v>8</v>
      </c>
      <c r="G14" s="8">
        <v>2015</v>
      </c>
      <c r="I14" s="23">
        <f t="shared" si="0"/>
        <v>8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54" t="s">
        <v>577</v>
      </c>
      <c r="C15" s="56" t="s">
        <v>37</v>
      </c>
      <c r="D15" s="56" t="s">
        <v>43</v>
      </c>
      <c r="E15" s="57" t="s">
        <v>441</v>
      </c>
      <c r="F15" s="21">
        <v>7.75</v>
      </c>
      <c r="G15" s="8">
        <v>2015</v>
      </c>
      <c r="I15" s="23">
        <f aca="true" t="shared" si="1" ref="I15:M24">+IF($G15&gt;=I$3,$F15,0)</f>
        <v>7.75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54" t="s">
        <v>257</v>
      </c>
      <c r="C16" s="11" t="s">
        <v>31</v>
      </c>
      <c r="D16" s="11" t="s">
        <v>16</v>
      </c>
      <c r="E16" s="20" t="s">
        <v>47</v>
      </c>
      <c r="F16" s="21">
        <v>7.5</v>
      </c>
      <c r="G16" s="8">
        <v>2015</v>
      </c>
      <c r="I16" s="23">
        <f t="shared" si="1"/>
        <v>7.5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22" t="s">
        <v>116</v>
      </c>
      <c r="C17" s="11" t="s">
        <v>19</v>
      </c>
      <c r="D17" s="11" t="s">
        <v>88</v>
      </c>
      <c r="E17" s="20" t="s">
        <v>47</v>
      </c>
      <c r="F17" s="21">
        <v>7.15</v>
      </c>
      <c r="G17" s="8">
        <v>2015</v>
      </c>
      <c r="I17" s="23">
        <f t="shared" si="1"/>
        <v>7.15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54" t="s">
        <v>272</v>
      </c>
      <c r="C18" s="11" t="s">
        <v>17</v>
      </c>
      <c r="D18" s="11" t="s">
        <v>88</v>
      </c>
      <c r="E18" s="20" t="s">
        <v>47</v>
      </c>
      <c r="F18" s="21">
        <v>6.9</v>
      </c>
      <c r="G18" s="8">
        <v>2015</v>
      </c>
      <c r="I18" s="23">
        <f t="shared" si="1"/>
        <v>6.9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4" t="s">
        <v>256</v>
      </c>
      <c r="C19" s="56" t="s">
        <v>17</v>
      </c>
      <c r="D19" s="56" t="s">
        <v>46</v>
      </c>
      <c r="E19" s="20" t="s">
        <v>47</v>
      </c>
      <c r="F19" s="33">
        <v>6.35</v>
      </c>
      <c r="G19" s="34">
        <v>2015</v>
      </c>
      <c r="I19" s="23">
        <f t="shared" si="1"/>
        <v>6.35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5" t="s">
        <v>94</v>
      </c>
      <c r="C20" s="11" t="s">
        <v>26</v>
      </c>
      <c r="D20" s="56" t="s">
        <v>51</v>
      </c>
      <c r="E20" s="20" t="s">
        <v>519</v>
      </c>
      <c r="F20" s="21">
        <v>5.3</v>
      </c>
      <c r="G20" s="8">
        <v>2015</v>
      </c>
      <c r="I20" s="23">
        <f t="shared" si="1"/>
        <v>5.3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42" t="s">
        <v>118</v>
      </c>
      <c r="C21" s="11" t="s">
        <v>17</v>
      </c>
      <c r="D21" s="56" t="s">
        <v>48</v>
      </c>
      <c r="E21" s="20" t="s">
        <v>47</v>
      </c>
      <c r="F21" s="21">
        <v>4.25</v>
      </c>
      <c r="G21" s="8">
        <v>2015</v>
      </c>
      <c r="I21" s="23">
        <f t="shared" si="1"/>
        <v>4.25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54" t="s">
        <v>236</v>
      </c>
      <c r="C22" s="56" t="s">
        <v>37</v>
      </c>
      <c r="D22" s="56" t="s">
        <v>33</v>
      </c>
      <c r="E22" s="57" t="s">
        <v>441</v>
      </c>
      <c r="F22" s="21">
        <v>4.2</v>
      </c>
      <c r="G22" s="8">
        <v>2015</v>
      </c>
      <c r="I22" s="23">
        <f t="shared" si="1"/>
        <v>4.2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4" t="s">
        <v>110</v>
      </c>
      <c r="C23" s="56" t="s">
        <v>15</v>
      </c>
      <c r="D23" s="56" t="s">
        <v>21</v>
      </c>
      <c r="E23" s="57" t="s">
        <v>441</v>
      </c>
      <c r="F23" s="25">
        <v>2.45</v>
      </c>
      <c r="G23" s="11">
        <v>2015</v>
      </c>
      <c r="I23" s="23">
        <f t="shared" si="1"/>
        <v>2.45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42" t="s">
        <v>710</v>
      </c>
      <c r="C24" s="11" t="s">
        <v>17</v>
      </c>
      <c r="D24" s="11" t="s">
        <v>22</v>
      </c>
      <c r="E24" s="20" t="s">
        <v>594</v>
      </c>
      <c r="F24" s="21">
        <v>1.7</v>
      </c>
      <c r="G24" s="8">
        <v>2015</v>
      </c>
      <c r="I24" s="23">
        <f t="shared" si="1"/>
        <v>1.7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54" t="s">
        <v>583</v>
      </c>
      <c r="C25" s="56" t="s">
        <v>17</v>
      </c>
      <c r="D25" s="56" t="s">
        <v>51</v>
      </c>
      <c r="E25" s="57" t="s">
        <v>441</v>
      </c>
      <c r="F25" s="21">
        <v>1.7</v>
      </c>
      <c r="G25" s="8">
        <v>2015</v>
      </c>
      <c r="I25" s="23">
        <f aca="true" t="shared" si="2" ref="I25:M32">+IF($G25&gt;=I$3,$F25,0)</f>
        <v>1.7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10" t="s">
        <v>649</v>
      </c>
      <c r="C26" s="11" t="s">
        <v>26</v>
      </c>
      <c r="D26" s="11" t="s">
        <v>24</v>
      </c>
      <c r="E26" s="20" t="s">
        <v>594</v>
      </c>
      <c r="F26" s="25">
        <v>1.7</v>
      </c>
      <c r="G26" s="11">
        <v>2015</v>
      </c>
      <c r="I26" s="23">
        <f t="shared" si="2"/>
        <v>1.7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42" t="s">
        <v>701</v>
      </c>
      <c r="C27" s="11" t="s">
        <v>17</v>
      </c>
      <c r="D27" s="11" t="s">
        <v>24</v>
      </c>
      <c r="E27" s="11" t="s">
        <v>594</v>
      </c>
      <c r="F27" s="21">
        <v>1.7</v>
      </c>
      <c r="G27" s="9">
        <v>2015</v>
      </c>
      <c r="I27" s="23">
        <f t="shared" si="2"/>
        <v>1.7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4" t="s">
        <v>723</v>
      </c>
      <c r="C28" s="11" t="s">
        <v>18</v>
      </c>
      <c r="D28" s="11" t="s">
        <v>52</v>
      </c>
      <c r="E28" s="20" t="s">
        <v>594</v>
      </c>
      <c r="F28" s="21">
        <v>1.7</v>
      </c>
      <c r="G28" s="8">
        <v>2015</v>
      </c>
      <c r="I28" s="23">
        <f t="shared" si="2"/>
        <v>1.7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54" t="s">
        <v>734</v>
      </c>
      <c r="C29" s="11" t="s">
        <v>17</v>
      </c>
      <c r="D29" s="11" t="s">
        <v>52</v>
      </c>
      <c r="E29" s="57" t="s">
        <v>594</v>
      </c>
      <c r="F29" s="21">
        <v>1.7</v>
      </c>
      <c r="G29" s="8">
        <v>2015</v>
      </c>
      <c r="I29" s="23">
        <f t="shared" si="2"/>
        <v>1.7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55"/>
      <c r="D30" s="11"/>
      <c r="E30" s="20"/>
      <c r="F30" s="21"/>
      <c r="G30" s="8"/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42"/>
      <c r="D31" s="11"/>
      <c r="E31" s="20"/>
      <c r="F31" s="21"/>
      <c r="G31" s="8"/>
      <c r="I31" s="23">
        <f t="shared" si="2"/>
        <v>0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30"/>
      <c r="D32" s="11"/>
      <c r="E32" s="20"/>
      <c r="F32" s="21"/>
      <c r="G32" s="8"/>
      <c r="I32" s="23">
        <f t="shared" si="2"/>
        <v>0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9:13" ht="12.75">
      <c r="I34" s="24">
        <f>+SUM(I5:I32)</f>
        <v>164.6999999999999</v>
      </c>
      <c r="J34" s="24">
        <f>+SUM(J5:J32)</f>
        <v>78.49999999999999</v>
      </c>
      <c r="K34" s="24">
        <f>+SUM(K5:K32)</f>
        <v>35.85</v>
      </c>
      <c r="L34" s="24">
        <f>+SUM(L5:L32)</f>
        <v>18.35</v>
      </c>
      <c r="M34" s="24">
        <f>+SUM(M5:M32)</f>
        <v>0</v>
      </c>
    </row>
    <row r="35" spans="9:13" ht="12.75">
      <c r="I35" s="24"/>
      <c r="J35" s="24"/>
      <c r="K35" s="24"/>
      <c r="L35" s="24"/>
      <c r="M35" s="24"/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2015</v>
      </c>
      <c r="J38" s="14">
        <f>+J$3</f>
        <v>2016</v>
      </c>
      <c r="K38" s="14">
        <f>+K$3</f>
        <v>2017</v>
      </c>
      <c r="L38" s="14">
        <f>+L$3</f>
        <v>2018</v>
      </c>
      <c r="M38" s="14">
        <f>+M$3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54" t="s">
        <v>361</v>
      </c>
      <c r="C40" s="11" t="s">
        <v>17</v>
      </c>
      <c r="D40" s="56" t="s">
        <v>39</v>
      </c>
      <c r="E40" s="57" t="s">
        <v>435</v>
      </c>
      <c r="F40" s="21">
        <v>7.75</v>
      </c>
      <c r="G40" s="8">
        <v>2018</v>
      </c>
      <c r="I40" s="23">
        <f aca="true" t="shared" si="3" ref="I40:I45">+CEILING(IF($I$38&lt;=G40,F40*0.3,0),0.05)</f>
        <v>2.35</v>
      </c>
      <c r="J40" s="23">
        <f aca="true" t="shared" si="4" ref="J40:J45">+CEILING(IF($J$38&lt;=G40,F40*0.3,0),0.05)</f>
        <v>2.35</v>
      </c>
      <c r="K40" s="23">
        <f aca="true" t="shared" si="5" ref="K40:K45">+CEILING(IF($K$38&lt;=G40,F40*0.3,0),0.05)</f>
        <v>2.35</v>
      </c>
      <c r="L40" s="23">
        <f aca="true" t="shared" si="6" ref="L40:L45">+CEILING(IF($L$38&lt;=G40,F40*0.3,0),0.05)</f>
        <v>2.35</v>
      </c>
      <c r="M40" s="23">
        <f aca="true" t="shared" si="7" ref="M40:M45">+CEILING(IF($M$38&lt;=G40,F40*0.3,0),0.05)</f>
        <v>0</v>
      </c>
    </row>
    <row r="41" spans="1:13" ht="12.75">
      <c r="A41" s="15">
        <v>2</v>
      </c>
      <c r="B41" s="22" t="s">
        <v>239</v>
      </c>
      <c r="C41" s="11" t="s">
        <v>19</v>
      </c>
      <c r="D41" s="11" t="s">
        <v>16</v>
      </c>
      <c r="E41" s="20" t="s">
        <v>432</v>
      </c>
      <c r="F41" s="21">
        <v>12.8</v>
      </c>
      <c r="G41" s="8">
        <v>2017</v>
      </c>
      <c r="I41" s="23">
        <f t="shared" si="3"/>
        <v>3.85</v>
      </c>
      <c r="J41" s="23">
        <f t="shared" si="4"/>
        <v>3.85</v>
      </c>
      <c r="K41" s="23">
        <f t="shared" si="5"/>
        <v>3.85</v>
      </c>
      <c r="L41" s="23">
        <f t="shared" si="6"/>
        <v>0</v>
      </c>
      <c r="M41" s="23">
        <f t="shared" si="7"/>
        <v>0</v>
      </c>
    </row>
    <row r="42" spans="1:13" ht="12.75">
      <c r="A42" s="15">
        <v>3</v>
      </c>
      <c r="D42" s="11"/>
      <c r="E42" s="11"/>
      <c r="F42" s="25"/>
      <c r="G42" s="11"/>
      <c r="I42" s="23">
        <f t="shared" si="3"/>
        <v>0</v>
      </c>
      <c r="J42" s="23">
        <f t="shared" si="4"/>
        <v>0</v>
      </c>
      <c r="K42" s="23">
        <f t="shared" si="5"/>
        <v>0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B43" s="22"/>
      <c r="D43" s="11"/>
      <c r="E43" s="20"/>
      <c r="F43" s="21"/>
      <c r="G43" s="8"/>
      <c r="I43" s="23">
        <f t="shared" si="3"/>
        <v>0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22"/>
      <c r="D44" s="11"/>
      <c r="E44" s="20"/>
      <c r="F44" s="21"/>
      <c r="G44" s="8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42"/>
      <c r="C45" s="20"/>
      <c r="D45" s="20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7.5" customHeight="1">
      <c r="A46" s="15"/>
      <c r="I46" s="19"/>
      <c r="J46" s="19"/>
      <c r="K46" s="19"/>
      <c r="L46" s="19"/>
      <c r="M46" s="19"/>
    </row>
    <row r="47" spans="1:13" ht="12.75">
      <c r="A47" s="15"/>
      <c r="I47" s="19">
        <f>+SUM(I40:I46)</f>
        <v>6.2</v>
      </c>
      <c r="J47" s="19">
        <f>+SUM(J40:J46)</f>
        <v>6.2</v>
      </c>
      <c r="K47" s="19">
        <f>+SUM(K40:K46)</f>
        <v>6.2</v>
      </c>
      <c r="L47" s="19">
        <f>+SUM(L40:L46)</f>
        <v>2.35</v>
      </c>
      <c r="M47" s="19">
        <f>+SUM(M40:M46)</f>
        <v>0</v>
      </c>
    </row>
    <row r="48" spans="9:13" ht="12.75">
      <c r="I48" s="24"/>
      <c r="J48" s="24"/>
      <c r="K48" s="24"/>
      <c r="L48" s="24"/>
      <c r="M48" s="24"/>
    </row>
    <row r="49" spans="1:13" ht="15.75">
      <c r="A49" s="140" t="s">
        <v>49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</row>
    <row r="50" ht="7.5" customHeight="1"/>
    <row r="51" spans="2:13" ht="12.75">
      <c r="B51" s="12" t="s">
        <v>1</v>
      </c>
      <c r="C51" s="13" t="s">
        <v>13</v>
      </c>
      <c r="D51" s="13" t="s">
        <v>4</v>
      </c>
      <c r="E51" s="13" t="s">
        <v>6</v>
      </c>
      <c r="F51" s="13" t="s">
        <v>3</v>
      </c>
      <c r="G51" s="13" t="s">
        <v>14</v>
      </c>
      <c r="I51" s="14">
        <f>+I$3</f>
        <v>2015</v>
      </c>
      <c r="J51" s="14">
        <f>+J$3</f>
        <v>2016</v>
      </c>
      <c r="K51" s="14">
        <f>+K$3</f>
        <v>2017</v>
      </c>
      <c r="L51" s="14">
        <f>+L$3</f>
        <v>2018</v>
      </c>
      <c r="M51" s="14">
        <f>+M$3</f>
        <v>2019</v>
      </c>
    </row>
    <row r="52" spans="2:6" ht="7.5" customHeight="1">
      <c r="B52" s="12"/>
      <c r="C52" s="14"/>
      <c r="E52" s="14"/>
      <c r="F52" s="14"/>
    </row>
    <row r="53" spans="1:13" ht="12.75">
      <c r="A53" s="15">
        <v>1</v>
      </c>
      <c r="B53" s="54" t="s">
        <v>360</v>
      </c>
      <c r="C53" s="11" t="s">
        <v>37</v>
      </c>
      <c r="D53" s="11" t="s">
        <v>34</v>
      </c>
      <c r="E53" s="57">
        <v>2014</v>
      </c>
      <c r="F53" s="21">
        <v>2.85</v>
      </c>
      <c r="G53" s="8">
        <v>2018</v>
      </c>
      <c r="I53" s="23">
        <f aca="true" t="shared" si="8" ref="I53:I60">+CEILING(IF($I$51=E53,F53,IF($I$51&lt;=G53,F53*0.3,0)),0.05)</f>
        <v>0.9</v>
      </c>
      <c r="J53" s="23">
        <f aca="true" t="shared" si="9" ref="J53:J60">+CEILING(IF($J$51&lt;=G53,F53*0.3,0),0.05)</f>
        <v>0.9</v>
      </c>
      <c r="K53" s="23">
        <f aca="true" t="shared" si="10" ref="K53:K60">+CEILING(IF($K$51&lt;=G53,F53*0.3,0),0.05)</f>
        <v>0.9</v>
      </c>
      <c r="L53" s="23">
        <f aca="true" t="shared" si="11" ref="L53:L60">+CEILING(IF($L$51&lt;=G53,F53*0.3,0),0.05)</f>
        <v>0.9</v>
      </c>
      <c r="M53" s="23">
        <f aca="true" t="shared" si="12" ref="M53:M60">CEILING(IF($M$51&lt;=G53,F53*0.3,0),0.05)</f>
        <v>0</v>
      </c>
    </row>
    <row r="54" spans="1:13" ht="12.75">
      <c r="A54" s="15">
        <v>2</v>
      </c>
      <c r="B54" s="42" t="s">
        <v>241</v>
      </c>
      <c r="C54" s="11" t="s">
        <v>40</v>
      </c>
      <c r="D54" s="11" t="s">
        <v>81</v>
      </c>
      <c r="E54" s="20">
        <v>2015</v>
      </c>
      <c r="F54" s="21">
        <v>4.5</v>
      </c>
      <c r="G54" s="8">
        <v>2016</v>
      </c>
      <c r="I54" s="23">
        <f t="shared" si="8"/>
        <v>4.5</v>
      </c>
      <c r="J54" s="23">
        <f t="shared" si="9"/>
        <v>1.35</v>
      </c>
      <c r="K54" s="23">
        <f t="shared" si="10"/>
        <v>0</v>
      </c>
      <c r="L54" s="23">
        <f t="shared" si="11"/>
        <v>0</v>
      </c>
      <c r="M54" s="23">
        <f t="shared" si="12"/>
        <v>0</v>
      </c>
    </row>
    <row r="55" spans="1:13" ht="12.75">
      <c r="A55" s="15">
        <v>3</v>
      </c>
      <c r="B55" s="42" t="s">
        <v>97</v>
      </c>
      <c r="C55" s="56" t="s">
        <v>17</v>
      </c>
      <c r="D55" s="56" t="s">
        <v>44</v>
      </c>
      <c r="E55" s="20">
        <v>2013</v>
      </c>
      <c r="F55" s="21">
        <v>4.05</v>
      </c>
      <c r="G55" s="8">
        <v>2016</v>
      </c>
      <c r="I55" s="23">
        <f t="shared" si="8"/>
        <v>1.25</v>
      </c>
      <c r="J55" s="23">
        <f t="shared" si="9"/>
        <v>1.25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4</v>
      </c>
      <c r="B56" s="42" t="s">
        <v>129</v>
      </c>
      <c r="C56" s="11" t="s">
        <v>31</v>
      </c>
      <c r="D56" s="11" t="s">
        <v>35</v>
      </c>
      <c r="E56" s="20">
        <v>2014</v>
      </c>
      <c r="F56" s="21">
        <v>4.35</v>
      </c>
      <c r="G56" s="8">
        <v>2015</v>
      </c>
      <c r="I56" s="23">
        <f t="shared" si="8"/>
        <v>1.35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5</v>
      </c>
      <c r="B57" s="10" t="s">
        <v>175</v>
      </c>
      <c r="C57" s="11" t="s">
        <v>18</v>
      </c>
      <c r="D57" s="11" t="s">
        <v>35</v>
      </c>
      <c r="E57" s="20">
        <v>2014</v>
      </c>
      <c r="F57" s="25">
        <v>4</v>
      </c>
      <c r="G57" s="11">
        <v>2015</v>
      </c>
      <c r="I57" s="23">
        <f t="shared" si="8"/>
        <v>1.2000000000000002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6</v>
      </c>
      <c r="B58" s="54" t="s">
        <v>255</v>
      </c>
      <c r="C58" s="11" t="s">
        <v>19</v>
      </c>
      <c r="D58" s="56" t="s">
        <v>34</v>
      </c>
      <c r="E58" s="11">
        <v>2013</v>
      </c>
      <c r="F58" s="16">
        <v>2.9</v>
      </c>
      <c r="G58" s="17">
        <v>2015</v>
      </c>
      <c r="I58" s="23">
        <f t="shared" si="8"/>
        <v>0.9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7</v>
      </c>
      <c r="B59" s="10" t="s">
        <v>601</v>
      </c>
      <c r="C59" s="11" t="s">
        <v>26</v>
      </c>
      <c r="D59" s="11" t="s">
        <v>27</v>
      </c>
      <c r="E59" s="20">
        <v>2015</v>
      </c>
      <c r="F59" s="25">
        <v>1.7</v>
      </c>
      <c r="G59" s="11">
        <v>2015</v>
      </c>
      <c r="I59" s="23">
        <f t="shared" si="8"/>
        <v>1.7000000000000002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8</v>
      </c>
      <c r="B60" s="55" t="s">
        <v>159</v>
      </c>
      <c r="C60" s="11" t="s">
        <v>19</v>
      </c>
      <c r="D60" s="11" t="s">
        <v>24</v>
      </c>
      <c r="E60" s="20">
        <v>2012</v>
      </c>
      <c r="F60" s="21">
        <v>1.2</v>
      </c>
      <c r="G60" s="9">
        <v>2015</v>
      </c>
      <c r="I60" s="23">
        <f t="shared" si="8"/>
        <v>0.4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9</v>
      </c>
      <c r="B61" s="42"/>
      <c r="D61" s="11"/>
      <c r="E61" s="20"/>
      <c r="F61" s="21"/>
      <c r="G61" s="8"/>
      <c r="I61" s="23">
        <f aca="true" t="shared" si="13" ref="I61:I67">+CEILING(IF($I$51=E61,F61,IF($I$51&lt;=G61,F61*0.3,0)),0.05)</f>
        <v>0</v>
      </c>
      <c r="J61" s="23">
        <f aca="true" t="shared" si="14" ref="J61:J67">+CEILING(IF($J$51&lt;=G61,F61*0.3,0),0.05)</f>
        <v>0</v>
      </c>
      <c r="K61" s="23">
        <f aca="true" t="shared" si="15" ref="K61:K67">+CEILING(IF($K$51&lt;=G61,F61*0.3,0),0.05)</f>
        <v>0</v>
      </c>
      <c r="L61" s="23">
        <f aca="true" t="shared" si="16" ref="L61:L67">+CEILING(IF($L$51&lt;=G61,F61*0.3,0),0.05)</f>
        <v>0</v>
      </c>
      <c r="M61" s="23">
        <f aca="true" t="shared" si="17" ref="M61:M67">CEILING(IF($M$51&lt;=G61,F61*0.3,0),0.05)</f>
        <v>0</v>
      </c>
    </row>
    <row r="62" spans="1:13" ht="12.75">
      <c r="A62" s="15">
        <v>10</v>
      </c>
      <c r="B62" s="30"/>
      <c r="D62" s="11"/>
      <c r="E62" s="20"/>
      <c r="F62" s="21"/>
      <c r="G62" s="8"/>
      <c r="I62" s="23">
        <f t="shared" si="13"/>
        <v>0</v>
      </c>
      <c r="J62" s="23">
        <f t="shared" si="14"/>
        <v>0</v>
      </c>
      <c r="K62" s="23">
        <f t="shared" si="15"/>
        <v>0</v>
      </c>
      <c r="L62" s="23">
        <f t="shared" si="16"/>
        <v>0</v>
      </c>
      <c r="M62" s="23">
        <f t="shared" si="17"/>
        <v>0</v>
      </c>
    </row>
    <row r="63" spans="1:13" ht="12.75">
      <c r="A63" s="15">
        <v>11</v>
      </c>
      <c r="B63" s="30"/>
      <c r="D63" s="56"/>
      <c r="E63" s="20"/>
      <c r="F63" s="21"/>
      <c r="G63" s="8"/>
      <c r="I63" s="23">
        <f t="shared" si="13"/>
        <v>0</v>
      </c>
      <c r="J63" s="23">
        <f t="shared" si="14"/>
        <v>0</v>
      </c>
      <c r="K63" s="23">
        <f t="shared" si="15"/>
        <v>0</v>
      </c>
      <c r="L63" s="23">
        <f t="shared" si="16"/>
        <v>0</v>
      </c>
      <c r="M63" s="23">
        <f t="shared" si="17"/>
        <v>0</v>
      </c>
    </row>
    <row r="64" spans="1:13" ht="12.75">
      <c r="A64" s="15">
        <v>12</v>
      </c>
      <c r="B64" s="30"/>
      <c r="D64" s="11"/>
      <c r="E64" s="20"/>
      <c r="F64" s="21"/>
      <c r="G64" s="8"/>
      <c r="I64" s="23">
        <f t="shared" si="13"/>
        <v>0</v>
      </c>
      <c r="J64" s="23">
        <f t="shared" si="14"/>
        <v>0</v>
      </c>
      <c r="K64" s="23">
        <f t="shared" si="15"/>
        <v>0</v>
      </c>
      <c r="L64" s="23">
        <f t="shared" si="16"/>
        <v>0</v>
      </c>
      <c r="M64" s="23">
        <f t="shared" si="17"/>
        <v>0</v>
      </c>
    </row>
    <row r="65" spans="1:13" ht="12.75">
      <c r="A65" s="15">
        <v>13</v>
      </c>
      <c r="B65" s="30"/>
      <c r="D65" s="11"/>
      <c r="E65" s="20"/>
      <c r="F65" s="21"/>
      <c r="G65" s="8"/>
      <c r="I65" s="23">
        <f t="shared" si="13"/>
        <v>0</v>
      </c>
      <c r="J65" s="23">
        <f t="shared" si="14"/>
        <v>0</v>
      </c>
      <c r="K65" s="23">
        <f t="shared" si="15"/>
        <v>0</v>
      </c>
      <c r="L65" s="23">
        <f t="shared" si="16"/>
        <v>0</v>
      </c>
      <c r="M65" s="23">
        <f t="shared" si="17"/>
        <v>0</v>
      </c>
    </row>
    <row r="66" spans="1:13" ht="12.75">
      <c r="A66" s="15">
        <v>14</v>
      </c>
      <c r="B66" s="30"/>
      <c r="D66" s="11"/>
      <c r="E66" s="20"/>
      <c r="F66" s="21"/>
      <c r="G66" s="8"/>
      <c r="I66" s="23">
        <f t="shared" si="13"/>
        <v>0</v>
      </c>
      <c r="J66" s="23">
        <f t="shared" si="14"/>
        <v>0</v>
      </c>
      <c r="K66" s="23">
        <f t="shared" si="15"/>
        <v>0</v>
      </c>
      <c r="L66" s="23">
        <f t="shared" si="16"/>
        <v>0</v>
      </c>
      <c r="M66" s="23">
        <f t="shared" si="17"/>
        <v>0</v>
      </c>
    </row>
    <row r="67" spans="1:13" ht="12.75">
      <c r="A67" s="15">
        <v>15</v>
      </c>
      <c r="B67" s="30"/>
      <c r="D67" s="11"/>
      <c r="E67" s="20"/>
      <c r="F67" s="21"/>
      <c r="G67" s="8"/>
      <c r="I67" s="23">
        <f t="shared" si="13"/>
        <v>0</v>
      </c>
      <c r="J67" s="23">
        <f t="shared" si="14"/>
        <v>0</v>
      </c>
      <c r="K67" s="23">
        <f t="shared" si="15"/>
        <v>0</v>
      </c>
      <c r="L67" s="23">
        <f t="shared" si="16"/>
        <v>0</v>
      </c>
      <c r="M67" s="23">
        <f t="shared" si="17"/>
        <v>0</v>
      </c>
    </row>
    <row r="68" spans="9:13" ht="7.5" customHeight="1">
      <c r="I68" s="22"/>
      <c r="J68" s="22"/>
      <c r="K68" s="22"/>
      <c r="L68" s="22"/>
      <c r="M68" s="22"/>
    </row>
    <row r="69" spans="9:13" ht="12.75">
      <c r="I69" s="24">
        <f>+SUM(I53:I68)</f>
        <v>12.200000000000001</v>
      </c>
      <c r="J69" s="24">
        <f>+SUM(J53:J68)</f>
        <v>3.5</v>
      </c>
      <c r="K69" s="24">
        <f>+SUM(K53:K68)</f>
        <v>0.9</v>
      </c>
      <c r="L69" s="24">
        <f>+SUM(L53:L68)</f>
        <v>0.9</v>
      </c>
      <c r="M69" s="24">
        <f>+SUM(M53:M68)</f>
        <v>0</v>
      </c>
    </row>
  </sheetData>
  <sheetProtection/>
  <mergeCells count="3">
    <mergeCell ref="A1:M1"/>
    <mergeCell ref="A36:M36"/>
    <mergeCell ref="A49:M4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35" t="s">
        <v>179</v>
      </c>
      <c r="C5" s="11" t="s">
        <v>18</v>
      </c>
      <c r="D5" s="11" t="s">
        <v>45</v>
      </c>
      <c r="E5" s="20" t="s">
        <v>47</v>
      </c>
      <c r="F5" s="21">
        <v>14</v>
      </c>
      <c r="G5" s="8">
        <v>2016</v>
      </c>
      <c r="I5" s="23">
        <f aca="true" t="shared" si="0" ref="I5:M14">+IF($G5&gt;=I$3,$F5,0)</f>
        <v>14</v>
      </c>
      <c r="J5" s="23">
        <f t="shared" si="0"/>
        <v>14</v>
      </c>
      <c r="K5" s="23">
        <f t="shared" si="0"/>
        <v>0</v>
      </c>
      <c r="L5" s="23">
        <f t="shared" si="0"/>
        <v>0</v>
      </c>
      <c r="M5" s="23">
        <f t="shared" si="0"/>
        <v>0</v>
      </c>
    </row>
    <row r="6" spans="1:13" ht="12.75">
      <c r="A6" s="15">
        <v>2</v>
      </c>
      <c r="B6" s="55" t="s">
        <v>506</v>
      </c>
      <c r="C6" s="11" t="s">
        <v>26</v>
      </c>
      <c r="D6" s="11" t="s">
        <v>24</v>
      </c>
      <c r="E6" s="20" t="s">
        <v>441</v>
      </c>
      <c r="F6" s="21">
        <v>19.8</v>
      </c>
      <c r="G6" s="8">
        <v>2015</v>
      </c>
      <c r="I6" s="23">
        <f t="shared" si="0"/>
        <v>19.8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</row>
    <row r="7" spans="1:13" ht="12.75">
      <c r="A7" s="15">
        <v>3</v>
      </c>
      <c r="B7" s="55" t="s">
        <v>502</v>
      </c>
      <c r="C7" s="11" t="s">
        <v>19</v>
      </c>
      <c r="D7" s="56" t="s">
        <v>226</v>
      </c>
      <c r="E7" s="20" t="s">
        <v>441</v>
      </c>
      <c r="F7" s="21">
        <v>14.5</v>
      </c>
      <c r="G7" s="8">
        <v>2015</v>
      </c>
      <c r="I7" s="23">
        <f t="shared" si="0"/>
        <v>14.5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</row>
    <row r="8" spans="1:13" ht="12.75">
      <c r="A8" s="15">
        <v>4</v>
      </c>
      <c r="B8" s="55" t="s">
        <v>514</v>
      </c>
      <c r="C8" s="11" t="s">
        <v>15</v>
      </c>
      <c r="D8" s="11" t="s">
        <v>42</v>
      </c>
      <c r="E8" s="20" t="s">
        <v>441</v>
      </c>
      <c r="F8" s="21">
        <v>12</v>
      </c>
      <c r="G8" s="8">
        <v>2015</v>
      </c>
      <c r="I8" s="23">
        <f t="shared" si="0"/>
        <v>12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</row>
    <row r="9" spans="1:13" ht="12.75">
      <c r="A9" s="15">
        <v>5</v>
      </c>
      <c r="B9" s="55" t="s">
        <v>133</v>
      </c>
      <c r="C9" s="11" t="s">
        <v>17</v>
      </c>
      <c r="D9" s="11" t="s">
        <v>33</v>
      </c>
      <c r="E9" s="20" t="s">
        <v>47</v>
      </c>
      <c r="F9" s="21">
        <v>11.35</v>
      </c>
      <c r="G9" s="8">
        <v>2015</v>
      </c>
      <c r="I9" s="23">
        <f t="shared" si="0"/>
        <v>11.35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55" t="s">
        <v>546</v>
      </c>
      <c r="C10" s="11" t="s">
        <v>37</v>
      </c>
      <c r="D10" s="11" t="s">
        <v>33</v>
      </c>
      <c r="E10" s="20" t="s">
        <v>441</v>
      </c>
      <c r="F10" s="21">
        <v>10</v>
      </c>
      <c r="G10" s="8">
        <v>2015</v>
      </c>
      <c r="I10" s="23">
        <f t="shared" si="0"/>
        <v>10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54" t="s">
        <v>530</v>
      </c>
      <c r="C11" s="56" t="s">
        <v>37</v>
      </c>
      <c r="D11" s="56" t="s">
        <v>36</v>
      </c>
      <c r="E11" s="20" t="s">
        <v>441</v>
      </c>
      <c r="F11" s="21">
        <v>8.3</v>
      </c>
      <c r="G11" s="8">
        <v>2015</v>
      </c>
      <c r="I11" s="23">
        <f t="shared" si="0"/>
        <v>8.3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10" t="s">
        <v>539</v>
      </c>
      <c r="C12" s="56" t="s">
        <v>17</v>
      </c>
      <c r="D12" s="56" t="s">
        <v>85</v>
      </c>
      <c r="E12" s="20" t="s">
        <v>441</v>
      </c>
      <c r="F12" s="21">
        <v>8.25</v>
      </c>
      <c r="G12" s="8">
        <v>2015</v>
      </c>
      <c r="I12" s="23">
        <f t="shared" si="0"/>
        <v>8.25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55" t="s">
        <v>545</v>
      </c>
      <c r="C13" s="11" t="s">
        <v>17</v>
      </c>
      <c r="D13" s="11" t="s">
        <v>42</v>
      </c>
      <c r="E13" s="20" t="s">
        <v>441</v>
      </c>
      <c r="F13" s="21">
        <v>8.15</v>
      </c>
      <c r="G13" s="8">
        <v>2015</v>
      </c>
      <c r="I13" s="23">
        <f t="shared" si="0"/>
        <v>8.15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55" t="s">
        <v>490</v>
      </c>
      <c r="C14" s="11" t="s">
        <v>18</v>
      </c>
      <c r="D14" s="11" t="s">
        <v>48</v>
      </c>
      <c r="E14" s="20" t="s">
        <v>441</v>
      </c>
      <c r="F14" s="21">
        <v>5.2</v>
      </c>
      <c r="G14" s="8">
        <v>2015</v>
      </c>
      <c r="I14" s="23">
        <f t="shared" si="0"/>
        <v>5.2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89" t="s">
        <v>523</v>
      </c>
      <c r="C15" s="11" t="s">
        <v>40</v>
      </c>
      <c r="D15" s="56" t="s">
        <v>88</v>
      </c>
      <c r="E15" s="20" t="s">
        <v>441</v>
      </c>
      <c r="F15" s="21">
        <v>4.75</v>
      </c>
      <c r="G15" s="8">
        <v>2015</v>
      </c>
      <c r="I15" s="23">
        <f aca="true" t="shared" si="1" ref="I15:M24">+IF($G15&gt;=I$3,$F15,0)</f>
        <v>4.75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35" t="s">
        <v>144</v>
      </c>
      <c r="C16" s="11" t="s">
        <v>18</v>
      </c>
      <c r="D16" s="11" t="s">
        <v>33</v>
      </c>
      <c r="E16" s="20" t="s">
        <v>47</v>
      </c>
      <c r="F16" s="21">
        <v>4.45</v>
      </c>
      <c r="G16" s="8">
        <v>2015</v>
      </c>
      <c r="I16" s="23">
        <f t="shared" si="1"/>
        <v>4.45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35" t="s">
        <v>309</v>
      </c>
      <c r="C17" s="11" t="s">
        <v>37</v>
      </c>
      <c r="D17" s="11" t="s">
        <v>88</v>
      </c>
      <c r="E17" s="20" t="s">
        <v>47</v>
      </c>
      <c r="F17" s="21">
        <v>3.75</v>
      </c>
      <c r="G17" s="8">
        <v>2015</v>
      </c>
      <c r="I17" s="23">
        <f t="shared" si="1"/>
        <v>3.75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89" t="s">
        <v>427</v>
      </c>
      <c r="C18" s="11" t="s">
        <v>37</v>
      </c>
      <c r="D18" s="11" t="s">
        <v>39</v>
      </c>
      <c r="E18" s="20" t="s">
        <v>47</v>
      </c>
      <c r="F18" s="21">
        <v>2.1</v>
      </c>
      <c r="G18" s="8">
        <v>2015</v>
      </c>
      <c r="I18" s="23">
        <f t="shared" si="1"/>
        <v>2.1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5" t="s">
        <v>521</v>
      </c>
      <c r="C19" s="11" t="s">
        <v>18</v>
      </c>
      <c r="D19" s="56" t="s">
        <v>438</v>
      </c>
      <c r="E19" s="20" t="s">
        <v>441</v>
      </c>
      <c r="F19" s="21">
        <v>1.7</v>
      </c>
      <c r="G19" s="8">
        <v>2015</v>
      </c>
      <c r="I19" s="23">
        <f t="shared" si="1"/>
        <v>1.7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89" t="s">
        <v>593</v>
      </c>
      <c r="C20" s="20" t="s">
        <v>31</v>
      </c>
      <c r="D20" s="20" t="s">
        <v>35</v>
      </c>
      <c r="E20" s="20" t="s">
        <v>594</v>
      </c>
      <c r="F20" s="21">
        <v>1.7</v>
      </c>
      <c r="G20" s="8">
        <v>2015</v>
      </c>
      <c r="I20" s="23">
        <f t="shared" si="1"/>
        <v>1.7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42" t="s">
        <v>605</v>
      </c>
      <c r="C21" s="11" t="s">
        <v>19</v>
      </c>
      <c r="D21" s="56" t="s">
        <v>39</v>
      </c>
      <c r="E21" s="20" t="s">
        <v>594</v>
      </c>
      <c r="F21" s="21">
        <v>1.7</v>
      </c>
      <c r="G21" s="8">
        <v>2015</v>
      </c>
      <c r="I21" s="23">
        <f t="shared" si="1"/>
        <v>1.7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90" t="s">
        <v>143</v>
      </c>
      <c r="C22" s="11" t="s">
        <v>17</v>
      </c>
      <c r="D22" s="11" t="s">
        <v>24</v>
      </c>
      <c r="E22" s="20" t="s">
        <v>47</v>
      </c>
      <c r="F22" s="21">
        <v>1.3</v>
      </c>
      <c r="G22" s="8">
        <v>2015</v>
      </c>
      <c r="I22" s="23">
        <f t="shared" si="1"/>
        <v>1.3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5"/>
      <c r="D23" s="11"/>
      <c r="E23" s="20"/>
      <c r="F23" s="21"/>
      <c r="G23" s="8"/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55"/>
      <c r="D24" s="11"/>
      <c r="E24" s="20"/>
      <c r="F24" s="21"/>
      <c r="G24" s="8"/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55"/>
      <c r="D25" s="11"/>
      <c r="E25" s="20"/>
      <c r="F25" s="21"/>
      <c r="G25" s="8"/>
      <c r="I25" s="23">
        <f aca="true" t="shared" si="2" ref="I25:M32">+IF($G25&gt;=I$3,$F25,0)</f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42"/>
      <c r="D26" s="56"/>
      <c r="E26" s="20"/>
      <c r="F26" s="21"/>
      <c r="G26" s="8"/>
      <c r="I26" s="23">
        <f t="shared" si="2"/>
        <v>0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D27" s="11"/>
      <c r="E27" s="20"/>
      <c r="F27" s="21"/>
      <c r="G27" s="8"/>
      <c r="I27" s="23">
        <f t="shared" si="2"/>
        <v>0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4"/>
      <c r="D28" s="56"/>
      <c r="E28" s="20"/>
      <c r="F28" s="21"/>
      <c r="G28" s="8"/>
      <c r="I28" s="23">
        <f t="shared" si="2"/>
        <v>0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D29" s="11"/>
      <c r="E29" s="20"/>
      <c r="F29" s="21"/>
      <c r="G29" s="8"/>
      <c r="I29" s="23">
        <f t="shared" si="2"/>
        <v>0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D30" s="11"/>
      <c r="E30" s="20"/>
      <c r="F30" s="25"/>
      <c r="G30" s="11"/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30"/>
      <c r="D31" s="11"/>
      <c r="E31" s="20"/>
      <c r="F31" s="21"/>
      <c r="G31" s="8"/>
      <c r="I31" s="23">
        <f t="shared" si="2"/>
        <v>0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30"/>
      <c r="D32" s="11"/>
      <c r="E32" s="20"/>
      <c r="F32" s="21"/>
      <c r="G32" s="8"/>
      <c r="I32" s="23">
        <f t="shared" si="2"/>
        <v>0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4:13" ht="12.75">
      <c r="D34" s="11"/>
      <c r="E34" s="20"/>
      <c r="F34" s="16"/>
      <c r="G34" s="17"/>
      <c r="I34" s="24">
        <f>+SUM(I5:I32)</f>
        <v>132.99999999999997</v>
      </c>
      <c r="J34" s="24">
        <f>+SUM(J5:J32)</f>
        <v>14</v>
      </c>
      <c r="K34" s="24">
        <f>+SUM(K5:K32)</f>
        <v>0</v>
      </c>
      <c r="L34" s="24">
        <f>+SUM(L5:L32)</f>
        <v>0</v>
      </c>
      <c r="M34" s="24">
        <f>+SUM(M5:M32)</f>
        <v>0</v>
      </c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+I3</f>
        <v>2015</v>
      </c>
      <c r="J38" s="14">
        <f>+J3</f>
        <v>2016</v>
      </c>
      <c r="K38" s="14">
        <f>+K3</f>
        <v>2017</v>
      </c>
      <c r="L38" s="14">
        <f>+L3</f>
        <v>2018</v>
      </c>
      <c r="M38" s="14">
        <f>+M3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55" t="s">
        <v>550</v>
      </c>
      <c r="C40" s="11" t="s">
        <v>18</v>
      </c>
      <c r="D40" s="11" t="s">
        <v>22</v>
      </c>
      <c r="E40" s="20" t="s">
        <v>441</v>
      </c>
      <c r="F40" s="21">
        <v>7</v>
      </c>
      <c r="G40" s="8">
        <v>2015</v>
      </c>
      <c r="I40" s="23">
        <f aca="true" t="shared" si="3" ref="I40:I46">+CEILING(IF($I$38&lt;=G40,F40*0.3,0),0.05)</f>
        <v>2.1</v>
      </c>
      <c r="J40" s="23">
        <f aca="true" t="shared" si="4" ref="J40:J46">+CEILING(IF($J$38&lt;=G40,F40*0.3,0),0.05)</f>
        <v>0</v>
      </c>
      <c r="K40" s="23">
        <f aca="true" t="shared" si="5" ref="K40:K46">+CEILING(IF($K$38&lt;=G40,F40*0.3,0),0.05)</f>
        <v>0</v>
      </c>
      <c r="L40" s="23">
        <f aca="true" t="shared" si="6" ref="L40:L46">+CEILING(IF($L$38&lt;=G40,F40*0.3,0),0.05)</f>
        <v>0</v>
      </c>
      <c r="M40" s="23">
        <f aca="true" t="shared" si="7" ref="M40:M46">+CEILING(IF($M$38&lt;=G40,F40*0.3,0),0.05)</f>
        <v>0</v>
      </c>
    </row>
    <row r="41" spans="1:13" ht="12.75">
      <c r="A41" s="15">
        <v>2</v>
      </c>
      <c r="B41" s="30"/>
      <c r="D41" s="11"/>
      <c r="E41" s="20"/>
      <c r="F41" s="21"/>
      <c r="G41" s="8"/>
      <c r="I41" s="23">
        <f t="shared" si="3"/>
        <v>0</v>
      </c>
      <c r="J41" s="23">
        <f t="shared" si="4"/>
        <v>0</v>
      </c>
      <c r="K41" s="23">
        <f t="shared" si="5"/>
        <v>0</v>
      </c>
      <c r="L41" s="23">
        <f t="shared" si="6"/>
        <v>0</v>
      </c>
      <c r="M41" s="23">
        <f t="shared" si="7"/>
        <v>0</v>
      </c>
    </row>
    <row r="42" spans="1:13" ht="12.75">
      <c r="A42" s="15">
        <v>3</v>
      </c>
      <c r="B42" s="30"/>
      <c r="D42" s="11"/>
      <c r="E42" s="20"/>
      <c r="F42" s="21"/>
      <c r="G42" s="8"/>
      <c r="I42" s="23">
        <f t="shared" si="3"/>
        <v>0</v>
      </c>
      <c r="J42" s="23">
        <f t="shared" si="4"/>
        <v>0</v>
      </c>
      <c r="K42" s="23">
        <f t="shared" si="5"/>
        <v>0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B43" s="42"/>
      <c r="D43" s="56"/>
      <c r="E43" s="20"/>
      <c r="F43" s="21"/>
      <c r="G43" s="8"/>
      <c r="I43" s="23">
        <f t="shared" si="3"/>
        <v>0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D44" s="11"/>
      <c r="E44" s="40"/>
      <c r="F44" s="38"/>
      <c r="G44" s="11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30"/>
      <c r="D45" s="11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76</v>
      </c>
      <c r="B46"/>
      <c r="C46" s="31"/>
      <c r="D46" s="31"/>
      <c r="E46" s="37"/>
      <c r="F46" s="41"/>
      <c r="G46" s="40"/>
      <c r="I46" s="23">
        <f t="shared" si="3"/>
        <v>0</v>
      </c>
      <c r="J46" s="23">
        <f t="shared" si="4"/>
        <v>0</v>
      </c>
      <c r="K46" s="23">
        <f t="shared" si="5"/>
        <v>0</v>
      </c>
      <c r="L46" s="23">
        <f t="shared" si="6"/>
        <v>0</v>
      </c>
      <c r="M46" s="23">
        <f t="shared" si="7"/>
        <v>0</v>
      </c>
    </row>
    <row r="47" spans="1:13" ht="7.5" customHeight="1">
      <c r="A47" s="15"/>
      <c r="I47" s="39"/>
      <c r="J47" s="39"/>
      <c r="K47" s="39"/>
      <c r="L47" s="39"/>
      <c r="M47" s="39"/>
    </row>
    <row r="48" spans="1:13" ht="12.75">
      <c r="A48" s="15"/>
      <c r="I48" s="19">
        <f>+SUM(I40:I47)</f>
        <v>2.1</v>
      </c>
      <c r="J48" s="19">
        <f>+SUM(J40:J47)</f>
        <v>0</v>
      </c>
      <c r="K48" s="19">
        <f>+SUM(K40:K47)</f>
        <v>0</v>
      </c>
      <c r="L48" s="19">
        <f>+SUM(L40:L47)</f>
        <v>0</v>
      </c>
      <c r="M48" s="19">
        <f>+SUM(M40:M47)</f>
        <v>0</v>
      </c>
    </row>
    <row r="50" spans="1:13" ht="15.75">
      <c r="A50" s="140" t="s">
        <v>49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2015</v>
      </c>
      <c r="J52" s="14">
        <f>+J$3</f>
        <v>2016</v>
      </c>
      <c r="K52" s="14">
        <f>+K$3</f>
        <v>2017</v>
      </c>
      <c r="L52" s="14">
        <f>+L$3</f>
        <v>2018</v>
      </c>
      <c r="M52" s="14">
        <f>+M$3</f>
        <v>2019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10" t="s">
        <v>190</v>
      </c>
      <c r="C54" s="11" t="s">
        <v>17</v>
      </c>
      <c r="D54" s="11" t="s">
        <v>23</v>
      </c>
      <c r="E54" s="20">
        <v>2013</v>
      </c>
      <c r="F54" s="16">
        <v>11.5</v>
      </c>
      <c r="G54" s="17">
        <v>2016</v>
      </c>
      <c r="I54" s="23">
        <f aca="true" t="shared" si="8" ref="I54:I63">+CEILING(IF($I$52=E54,F54,IF($I$52&lt;=G54,F54*0.3,0)),0.05)</f>
        <v>3.45</v>
      </c>
      <c r="J54" s="23">
        <f aca="true" t="shared" si="9" ref="J54:J63">+CEILING(IF($J$52&lt;=G54,F54*0.3,0),0.05)</f>
        <v>3.45</v>
      </c>
      <c r="K54" s="23">
        <f aca="true" t="shared" si="10" ref="K54:K63">+CEILING(IF($K$52&lt;=G54,F54*0.3,0),0.05)</f>
        <v>0</v>
      </c>
      <c r="L54" s="23">
        <f aca="true" t="shared" si="11" ref="L54:L63">+CEILING(IF($L$52&lt;=G54,F54*0.3,0),0.05)</f>
        <v>0</v>
      </c>
      <c r="M54" s="23">
        <f aca="true" t="shared" si="12" ref="M54:M63">CEILING(IF($M$52&lt;=G54,F54*0.3,0),0.05)</f>
        <v>0</v>
      </c>
    </row>
    <row r="55" spans="1:13" ht="12.75">
      <c r="A55" s="15">
        <v>2</v>
      </c>
      <c r="B55" s="36"/>
      <c r="C55" s="56"/>
      <c r="D55" s="56"/>
      <c r="E55" s="20"/>
      <c r="F55" s="21"/>
      <c r="G55" s="8"/>
      <c r="I55" s="23">
        <f t="shared" si="8"/>
        <v>0</v>
      </c>
      <c r="J55" s="23">
        <f t="shared" si="9"/>
        <v>0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D56" s="11"/>
      <c r="E56" s="20"/>
      <c r="F56" s="25"/>
      <c r="G56" s="11"/>
      <c r="I56" s="23">
        <f t="shared" si="8"/>
        <v>0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5"/>
      <c r="D57" s="11"/>
      <c r="E57" s="20"/>
      <c r="F57" s="21"/>
      <c r="G57" s="8"/>
      <c r="I57" s="23">
        <f t="shared" si="8"/>
        <v>0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30"/>
      <c r="D58" s="11"/>
      <c r="E58" s="20"/>
      <c r="F58" s="21"/>
      <c r="G58" s="8"/>
      <c r="I58" s="23">
        <f t="shared" si="8"/>
        <v>0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30"/>
      <c r="D59" s="56"/>
      <c r="E59" s="20"/>
      <c r="F59" s="21"/>
      <c r="G59" s="8"/>
      <c r="I59" s="23">
        <f>+CEILING(IF($I$52=E59,F59,IF($I$52&lt;=G59,F59*0.3,0)),0.05)</f>
        <v>0</v>
      </c>
      <c r="J59" s="23">
        <f>+CEILING(IF($J$52&lt;=G59,F59*0.3,0),0.05)</f>
        <v>0</v>
      </c>
      <c r="K59" s="23">
        <f>+CEILING(IF($K$52&lt;=G59,F59*0.3,0),0.05)</f>
        <v>0</v>
      </c>
      <c r="L59" s="23">
        <f>+CEILING(IF($L$52&lt;=G59,F59*0.3,0),0.05)</f>
        <v>0</v>
      </c>
      <c r="M59" s="23">
        <f>CEILING(IF($M$52&lt;=G59,F59*0.3,0),0.05)</f>
        <v>0</v>
      </c>
    </row>
    <row r="60" spans="1:13" ht="12.75">
      <c r="A60" s="15">
        <v>7</v>
      </c>
      <c r="B60" s="30"/>
      <c r="D60" s="11"/>
      <c r="E60" s="20"/>
      <c r="F60" s="21"/>
      <c r="G60" s="8"/>
      <c r="I60" s="23">
        <f>+CEILING(IF($I$52=E60,F60,IF($I$52&lt;=G60,F60*0.3,0)),0.05)</f>
        <v>0</v>
      </c>
      <c r="J60" s="23">
        <f>+CEILING(IF($J$52&lt;=G60,F60*0.3,0),0.05)</f>
        <v>0</v>
      </c>
      <c r="K60" s="23">
        <f>+CEILING(IF($K$52&lt;=G60,F60*0.3,0),0.05)</f>
        <v>0</v>
      </c>
      <c r="L60" s="23">
        <f>+CEILING(IF($L$52&lt;=G60,F60*0.3,0),0.05)</f>
        <v>0</v>
      </c>
      <c r="M60" s="23">
        <f>CEILING(IF($M$52&lt;=G60,F60*0.3,0),0.05)</f>
        <v>0</v>
      </c>
    </row>
    <row r="61" spans="1:13" ht="12.75">
      <c r="A61" s="15">
        <v>8</v>
      </c>
      <c r="B61" s="30"/>
      <c r="D61" s="11"/>
      <c r="E61" s="20"/>
      <c r="F61" s="21"/>
      <c r="G61" s="8"/>
      <c r="I61" s="23">
        <f>+CEILING(IF($I$52=E61,F61,IF($I$52&lt;=G61,F61*0.3,0)),0.05)</f>
        <v>0</v>
      </c>
      <c r="J61" s="23">
        <f>+CEILING(IF($J$52&lt;=G61,F61*0.3,0),0.05)</f>
        <v>0</v>
      </c>
      <c r="K61" s="23">
        <f>+CEILING(IF($K$52&lt;=G61,F61*0.3,0),0.05)</f>
        <v>0</v>
      </c>
      <c r="L61" s="23">
        <f>+CEILING(IF($L$52&lt;=G61,F61*0.3,0),0.05)</f>
        <v>0</v>
      </c>
      <c r="M61" s="23">
        <f>CEILING(IF($M$52&lt;=G61,F61*0.3,0),0.05)</f>
        <v>0</v>
      </c>
    </row>
    <row r="62" spans="1:13" ht="12.75">
      <c r="A62" s="15">
        <v>9</v>
      </c>
      <c r="B62" s="22"/>
      <c r="D62" s="11"/>
      <c r="E62" s="20"/>
      <c r="F62" s="21"/>
      <c r="G62" s="8"/>
      <c r="I62" s="23">
        <f>+CEILING(IF($I$52=E62,F62,IF($I$52&lt;=G62,F62*0.3,0)),0.05)</f>
        <v>0</v>
      </c>
      <c r="J62" s="23">
        <f>+CEILING(IF($J$52&lt;=G62,F62*0.3,0),0.05)</f>
        <v>0</v>
      </c>
      <c r="K62" s="23">
        <f>+CEILING(IF($K$52&lt;=G62,F62*0.3,0),0.05)</f>
        <v>0</v>
      </c>
      <c r="L62" s="23">
        <f>+CEILING(IF($L$52&lt;=G62,F62*0.3,0),0.05)</f>
        <v>0</v>
      </c>
      <c r="M62" s="23">
        <f>CEILING(IF($M$52&lt;=G62,F62*0.3,0),0.05)</f>
        <v>0</v>
      </c>
    </row>
    <row r="63" spans="1:13" ht="12.75">
      <c r="A63" s="15">
        <v>10</v>
      </c>
      <c r="B63" s="22"/>
      <c r="D63" s="11"/>
      <c r="E63" s="20"/>
      <c r="F63" s="21"/>
      <c r="G63" s="8"/>
      <c r="I63" s="23">
        <f t="shared" si="8"/>
        <v>0</v>
      </c>
      <c r="J63" s="23">
        <f t="shared" si="9"/>
        <v>0</v>
      </c>
      <c r="K63" s="23">
        <f t="shared" si="10"/>
        <v>0</v>
      </c>
      <c r="L63" s="23">
        <f t="shared" si="11"/>
        <v>0</v>
      </c>
      <c r="M63" s="23">
        <f t="shared" si="12"/>
        <v>0</v>
      </c>
    </row>
    <row r="64" spans="9:13" ht="7.5" customHeight="1">
      <c r="I64" s="22"/>
      <c r="J64" s="22"/>
      <c r="K64" s="22"/>
      <c r="L64" s="22"/>
      <c r="M64" s="22"/>
    </row>
    <row r="65" spans="9:13" ht="12.75">
      <c r="I65" s="24">
        <f>+SUM(I54:I64)</f>
        <v>3.45</v>
      </c>
      <c r="J65" s="24">
        <f>+SUM(J54:J64)</f>
        <v>3.45</v>
      </c>
      <c r="K65" s="24">
        <f>+SUM(K54:K64)</f>
        <v>0</v>
      </c>
      <c r="L65" s="24">
        <f>+SUM(L54:L64)</f>
        <v>0</v>
      </c>
      <c r="M65" s="24">
        <f>+SUM(M54:M64)</f>
        <v>0</v>
      </c>
    </row>
  </sheetData>
  <sheetProtection/>
  <mergeCells count="3">
    <mergeCell ref="A1:M1"/>
    <mergeCell ref="A50:M50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Garry&amp;R&amp;"Copperplate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13" ht="7.5" customHeight="1">
      <c r="B4" s="12"/>
      <c r="C4" s="14"/>
      <c r="E4" s="14"/>
      <c r="F4" s="14"/>
      <c r="I4" s="22"/>
      <c r="J4" s="22"/>
      <c r="K4" s="22"/>
      <c r="L4" s="22"/>
      <c r="M4" s="22"/>
    </row>
    <row r="5" spans="1:13" ht="12.75">
      <c r="A5" s="15">
        <v>1</v>
      </c>
      <c r="B5" s="54" t="s">
        <v>511</v>
      </c>
      <c r="C5" s="11" t="s">
        <v>17</v>
      </c>
      <c r="D5" s="11" t="s">
        <v>88</v>
      </c>
      <c r="E5" s="20" t="s">
        <v>441</v>
      </c>
      <c r="F5" s="23">
        <v>15.25</v>
      </c>
      <c r="G5" s="20">
        <v>2019</v>
      </c>
      <c r="I5" s="23">
        <f aca="true" t="shared" si="0" ref="I5:M14">+IF($G5&gt;=I$3,$F5,0)</f>
        <v>15.25</v>
      </c>
      <c r="J5" s="23">
        <f t="shared" si="0"/>
        <v>15.25</v>
      </c>
      <c r="K5" s="23">
        <f t="shared" si="0"/>
        <v>15.25</v>
      </c>
      <c r="L5" s="23">
        <f t="shared" si="0"/>
        <v>15.25</v>
      </c>
      <c r="M5" s="23">
        <f t="shared" si="0"/>
        <v>15.25</v>
      </c>
    </row>
    <row r="6" spans="1:13" ht="12.75">
      <c r="A6" s="15">
        <v>2</v>
      </c>
      <c r="B6" s="54" t="s">
        <v>555</v>
      </c>
      <c r="C6" s="11" t="s">
        <v>17</v>
      </c>
      <c r="D6" s="11" t="s">
        <v>42</v>
      </c>
      <c r="E6" s="20" t="s">
        <v>441</v>
      </c>
      <c r="F6" s="21">
        <v>4.55</v>
      </c>
      <c r="G6" s="8">
        <v>2019</v>
      </c>
      <c r="I6" s="23">
        <f t="shared" si="0"/>
        <v>4.55</v>
      </c>
      <c r="J6" s="23">
        <f t="shared" si="0"/>
        <v>4.55</v>
      </c>
      <c r="K6" s="23">
        <f t="shared" si="0"/>
        <v>4.55</v>
      </c>
      <c r="L6" s="23">
        <f t="shared" si="0"/>
        <v>4.55</v>
      </c>
      <c r="M6" s="23">
        <f t="shared" si="0"/>
        <v>4.55</v>
      </c>
    </row>
    <row r="7" spans="1:13" ht="12.75">
      <c r="A7" s="15">
        <v>3</v>
      </c>
      <c r="B7" s="54" t="s">
        <v>364</v>
      </c>
      <c r="C7" s="11" t="s">
        <v>17</v>
      </c>
      <c r="D7" s="11" t="s">
        <v>85</v>
      </c>
      <c r="E7" s="57" t="s">
        <v>437</v>
      </c>
      <c r="F7" s="21">
        <v>13.65</v>
      </c>
      <c r="G7" s="8">
        <v>2018</v>
      </c>
      <c r="I7" s="23">
        <f t="shared" si="0"/>
        <v>13.65</v>
      </c>
      <c r="J7" s="23">
        <f t="shared" si="0"/>
        <v>13.65</v>
      </c>
      <c r="K7" s="23">
        <f t="shared" si="0"/>
        <v>13.65</v>
      </c>
      <c r="L7" s="23">
        <f t="shared" si="0"/>
        <v>13.65</v>
      </c>
      <c r="M7" s="23">
        <f t="shared" si="0"/>
        <v>0</v>
      </c>
    </row>
    <row r="8" spans="1:13" ht="12.75">
      <c r="A8" s="15">
        <v>4</v>
      </c>
      <c r="B8" s="54" t="s">
        <v>495</v>
      </c>
      <c r="C8" s="11" t="s">
        <v>18</v>
      </c>
      <c r="D8" s="11" t="s">
        <v>34</v>
      </c>
      <c r="E8" s="20" t="s">
        <v>441</v>
      </c>
      <c r="F8" s="23">
        <v>9.2</v>
      </c>
      <c r="G8" s="20">
        <v>2017</v>
      </c>
      <c r="I8" s="23">
        <f t="shared" si="0"/>
        <v>9.2</v>
      </c>
      <c r="J8" s="23">
        <f t="shared" si="0"/>
        <v>9.2</v>
      </c>
      <c r="K8" s="23">
        <f t="shared" si="0"/>
        <v>9.2</v>
      </c>
      <c r="L8" s="23">
        <f t="shared" si="0"/>
        <v>0</v>
      </c>
      <c r="M8" s="23">
        <f t="shared" si="0"/>
        <v>0</v>
      </c>
    </row>
    <row r="9" spans="1:13" ht="12.75">
      <c r="A9" s="15">
        <v>5</v>
      </c>
      <c r="B9" s="54" t="s">
        <v>584</v>
      </c>
      <c r="C9" s="56" t="s">
        <v>37</v>
      </c>
      <c r="D9" s="56" t="s">
        <v>25</v>
      </c>
      <c r="E9" s="57" t="s">
        <v>441</v>
      </c>
      <c r="F9" s="21">
        <v>7.6</v>
      </c>
      <c r="G9" s="8">
        <v>2017</v>
      </c>
      <c r="I9" s="23">
        <f t="shared" si="0"/>
        <v>7.6</v>
      </c>
      <c r="J9" s="23">
        <f t="shared" si="0"/>
        <v>7.6</v>
      </c>
      <c r="K9" s="23">
        <f t="shared" si="0"/>
        <v>7.6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54" t="s">
        <v>244</v>
      </c>
      <c r="C10" s="11" t="s">
        <v>15</v>
      </c>
      <c r="D10" s="11" t="s">
        <v>27</v>
      </c>
      <c r="E10" s="20" t="s">
        <v>517</v>
      </c>
      <c r="F10" s="21">
        <v>6.75</v>
      </c>
      <c r="G10" s="8">
        <v>2017</v>
      </c>
      <c r="I10" s="23">
        <f t="shared" si="0"/>
        <v>6.75</v>
      </c>
      <c r="J10" s="23">
        <f t="shared" si="0"/>
        <v>6.75</v>
      </c>
      <c r="K10" s="23">
        <f t="shared" si="0"/>
        <v>6.75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54" t="s">
        <v>310</v>
      </c>
      <c r="C11" s="11" t="s">
        <v>17</v>
      </c>
      <c r="D11" s="11" t="s">
        <v>52</v>
      </c>
      <c r="E11" s="20" t="s">
        <v>432</v>
      </c>
      <c r="F11" s="21">
        <v>1.4</v>
      </c>
      <c r="G11" s="8">
        <v>2017</v>
      </c>
      <c r="I11" s="23">
        <f t="shared" si="0"/>
        <v>1.4</v>
      </c>
      <c r="J11" s="23">
        <f t="shared" si="0"/>
        <v>1.4</v>
      </c>
      <c r="K11" s="23">
        <f t="shared" si="0"/>
        <v>1.4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55" t="s">
        <v>172</v>
      </c>
      <c r="C12" s="11" t="s">
        <v>19</v>
      </c>
      <c r="D12" s="56" t="s">
        <v>42</v>
      </c>
      <c r="E12" s="20" t="s">
        <v>518</v>
      </c>
      <c r="F12" s="21">
        <v>15.6</v>
      </c>
      <c r="G12" s="8">
        <v>2016</v>
      </c>
      <c r="I12" s="23">
        <f t="shared" si="0"/>
        <v>15.6</v>
      </c>
      <c r="J12" s="23">
        <f t="shared" si="0"/>
        <v>15.6</v>
      </c>
      <c r="K12" s="23">
        <f t="shared" si="0"/>
        <v>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54" t="s">
        <v>503</v>
      </c>
      <c r="C13" s="11" t="s">
        <v>37</v>
      </c>
      <c r="D13" s="11" t="s">
        <v>85</v>
      </c>
      <c r="E13" s="20" t="s">
        <v>441</v>
      </c>
      <c r="F13" s="21">
        <v>11.75</v>
      </c>
      <c r="G13" s="8">
        <v>2016</v>
      </c>
      <c r="I13" s="23">
        <f t="shared" si="0"/>
        <v>11.75</v>
      </c>
      <c r="J13" s="23">
        <f t="shared" si="0"/>
        <v>11.75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55" t="s">
        <v>173</v>
      </c>
      <c r="C14" s="11" t="s">
        <v>31</v>
      </c>
      <c r="D14" s="11" t="s">
        <v>45</v>
      </c>
      <c r="E14" s="20" t="s">
        <v>518</v>
      </c>
      <c r="F14" s="21">
        <v>6.85</v>
      </c>
      <c r="G14" s="8">
        <v>2016</v>
      </c>
      <c r="I14" s="23">
        <f t="shared" si="0"/>
        <v>6.85</v>
      </c>
      <c r="J14" s="23">
        <f t="shared" si="0"/>
        <v>6.85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54" t="s">
        <v>401</v>
      </c>
      <c r="C15" s="11" t="s">
        <v>17</v>
      </c>
      <c r="D15" s="56" t="s">
        <v>51</v>
      </c>
      <c r="E15" s="20" t="s">
        <v>47</v>
      </c>
      <c r="F15" s="21">
        <v>6.3</v>
      </c>
      <c r="G15" s="8">
        <v>2016</v>
      </c>
      <c r="I15" s="23">
        <f aca="true" t="shared" si="1" ref="I15:M24">+IF($G15&gt;=I$3,$F15,0)</f>
        <v>6.3</v>
      </c>
      <c r="J15" s="23">
        <f t="shared" si="1"/>
        <v>6.3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55" t="s">
        <v>210</v>
      </c>
      <c r="C16" s="11" t="s">
        <v>17</v>
      </c>
      <c r="D16" s="11" t="s">
        <v>16</v>
      </c>
      <c r="E16" s="20" t="s">
        <v>47</v>
      </c>
      <c r="F16" s="21">
        <v>5.65</v>
      </c>
      <c r="G16" s="8">
        <v>2016</v>
      </c>
      <c r="I16" s="23">
        <f t="shared" si="1"/>
        <v>5.65</v>
      </c>
      <c r="J16" s="23">
        <f t="shared" si="1"/>
        <v>5.65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54" t="s">
        <v>402</v>
      </c>
      <c r="C17" s="11" t="s">
        <v>19</v>
      </c>
      <c r="D17" s="11" t="s">
        <v>22</v>
      </c>
      <c r="E17" s="20" t="s">
        <v>47</v>
      </c>
      <c r="F17" s="23">
        <v>3.25</v>
      </c>
      <c r="G17" s="20">
        <v>2016</v>
      </c>
      <c r="I17" s="23">
        <f t="shared" si="1"/>
        <v>3.25</v>
      </c>
      <c r="J17" s="23">
        <f t="shared" si="1"/>
        <v>3.25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10" t="s">
        <v>192</v>
      </c>
      <c r="C18" s="11" t="s">
        <v>26</v>
      </c>
      <c r="D18" s="11" t="s">
        <v>25</v>
      </c>
      <c r="E18" s="11" t="s">
        <v>518</v>
      </c>
      <c r="F18" s="25">
        <v>2.2</v>
      </c>
      <c r="G18" s="11">
        <v>2016</v>
      </c>
      <c r="I18" s="23">
        <f t="shared" si="1"/>
        <v>2.2</v>
      </c>
      <c r="J18" s="23">
        <f t="shared" si="1"/>
        <v>2.2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4" t="s">
        <v>571</v>
      </c>
      <c r="C19" s="56" t="s">
        <v>40</v>
      </c>
      <c r="D19" s="56" t="s">
        <v>38</v>
      </c>
      <c r="E19" s="57" t="s">
        <v>441</v>
      </c>
      <c r="F19" s="21">
        <v>1.7</v>
      </c>
      <c r="G19" s="8">
        <v>2016</v>
      </c>
      <c r="I19" s="23">
        <f t="shared" si="1"/>
        <v>1.7</v>
      </c>
      <c r="J19" s="23">
        <f t="shared" si="1"/>
        <v>1.7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4" t="s">
        <v>579</v>
      </c>
      <c r="C20" s="56" t="s">
        <v>37</v>
      </c>
      <c r="D20" s="56" t="s">
        <v>42</v>
      </c>
      <c r="E20" s="57" t="s">
        <v>441</v>
      </c>
      <c r="F20" s="21">
        <v>1.7</v>
      </c>
      <c r="G20" s="8">
        <v>2016</v>
      </c>
      <c r="I20" s="23">
        <f t="shared" si="1"/>
        <v>1.7</v>
      </c>
      <c r="J20" s="23">
        <f t="shared" si="1"/>
        <v>1.7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10" t="s">
        <v>412</v>
      </c>
      <c r="C21" s="11" t="s">
        <v>18</v>
      </c>
      <c r="D21" s="11" t="s">
        <v>44</v>
      </c>
      <c r="E21" s="20" t="s">
        <v>47</v>
      </c>
      <c r="F21" s="25">
        <v>1.55</v>
      </c>
      <c r="G21" s="11">
        <v>2016</v>
      </c>
      <c r="I21" s="23">
        <f t="shared" si="1"/>
        <v>1.55</v>
      </c>
      <c r="J21" s="23">
        <f t="shared" si="1"/>
        <v>1.55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55" t="s">
        <v>111</v>
      </c>
      <c r="C22" s="11" t="s">
        <v>19</v>
      </c>
      <c r="D22" s="56" t="s">
        <v>44</v>
      </c>
      <c r="E22" s="20" t="s">
        <v>519</v>
      </c>
      <c r="F22" s="21">
        <v>9.5</v>
      </c>
      <c r="G22" s="8">
        <v>2015</v>
      </c>
      <c r="I22" s="23">
        <f t="shared" si="1"/>
        <v>9.5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4" t="s">
        <v>754</v>
      </c>
      <c r="C23" s="11" t="s">
        <v>17</v>
      </c>
      <c r="D23" s="11" t="s">
        <v>23</v>
      </c>
      <c r="E23" s="20" t="s">
        <v>594</v>
      </c>
      <c r="F23" s="21">
        <v>1.7</v>
      </c>
      <c r="G23" s="8">
        <v>2015</v>
      </c>
      <c r="I23" s="23">
        <f t="shared" si="1"/>
        <v>1.7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55" t="s">
        <v>375</v>
      </c>
      <c r="C24" s="11" t="s">
        <v>15</v>
      </c>
      <c r="D24" s="11" t="s">
        <v>38</v>
      </c>
      <c r="E24" s="20" t="s">
        <v>594</v>
      </c>
      <c r="F24" s="21">
        <v>1.7</v>
      </c>
      <c r="G24" s="8">
        <v>2015</v>
      </c>
      <c r="I24" s="23">
        <f t="shared" si="1"/>
        <v>1.7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55" t="s">
        <v>755</v>
      </c>
      <c r="C25" s="11" t="s">
        <v>37</v>
      </c>
      <c r="D25" s="56" t="s">
        <v>42</v>
      </c>
      <c r="E25" s="20" t="s">
        <v>594</v>
      </c>
      <c r="F25" s="21">
        <v>1.7</v>
      </c>
      <c r="G25" s="8">
        <v>2015</v>
      </c>
      <c r="I25" s="23">
        <f aca="true" t="shared" si="2" ref="I25:M32">+IF($G25&gt;=I$3,$F25,0)</f>
        <v>1.7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54" t="s">
        <v>275</v>
      </c>
      <c r="C26" s="11" t="s">
        <v>19</v>
      </c>
      <c r="D26" s="11" t="s">
        <v>34</v>
      </c>
      <c r="E26" s="20" t="s">
        <v>47</v>
      </c>
      <c r="F26" s="23">
        <v>3.95</v>
      </c>
      <c r="G26" s="20">
        <v>2015</v>
      </c>
      <c r="I26" s="23">
        <f t="shared" si="2"/>
        <v>3.95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5" t="s">
        <v>756</v>
      </c>
      <c r="C27" s="11" t="s">
        <v>17</v>
      </c>
      <c r="D27" s="11" t="s">
        <v>52</v>
      </c>
      <c r="E27" s="20" t="s">
        <v>594</v>
      </c>
      <c r="F27" s="21">
        <v>1.7</v>
      </c>
      <c r="G27" s="8">
        <v>2015</v>
      </c>
      <c r="I27" s="23">
        <f t="shared" si="2"/>
        <v>1.7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4" t="s">
        <v>687</v>
      </c>
      <c r="C28" s="11" t="s">
        <v>37</v>
      </c>
      <c r="D28" s="11" t="s">
        <v>42</v>
      </c>
      <c r="E28" s="20" t="s">
        <v>594</v>
      </c>
      <c r="F28" s="21">
        <v>1.7</v>
      </c>
      <c r="G28" s="8">
        <v>2015</v>
      </c>
      <c r="I28" s="23">
        <f t="shared" si="2"/>
        <v>1.7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54" t="s">
        <v>596</v>
      </c>
      <c r="C29" s="11" t="s">
        <v>40</v>
      </c>
      <c r="D29" s="11" t="s">
        <v>45</v>
      </c>
      <c r="E29" s="20" t="s">
        <v>594</v>
      </c>
      <c r="F29" s="21">
        <v>1.7</v>
      </c>
      <c r="G29" s="8">
        <v>2015</v>
      </c>
      <c r="I29" s="23">
        <f t="shared" si="2"/>
        <v>1.7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89" t="s">
        <v>665</v>
      </c>
      <c r="C30" s="11" t="s">
        <v>31</v>
      </c>
      <c r="D30" s="11" t="s">
        <v>51</v>
      </c>
      <c r="E30" s="20" t="s">
        <v>594</v>
      </c>
      <c r="F30" s="21">
        <v>1.7</v>
      </c>
      <c r="G30" s="8">
        <v>2015</v>
      </c>
      <c r="I30" s="23">
        <f t="shared" si="2"/>
        <v>1.7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4" t="s">
        <v>363</v>
      </c>
      <c r="C31" s="11" t="s">
        <v>26</v>
      </c>
      <c r="D31" s="11" t="s">
        <v>16</v>
      </c>
      <c r="E31" s="57" t="s">
        <v>47</v>
      </c>
      <c r="F31" s="21">
        <v>1.55</v>
      </c>
      <c r="G31" s="8">
        <v>2015</v>
      </c>
      <c r="I31" s="23">
        <f t="shared" si="2"/>
        <v>1.55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54" t="s">
        <v>674</v>
      </c>
      <c r="C32" s="11" t="s">
        <v>31</v>
      </c>
      <c r="D32" s="11" t="s">
        <v>23</v>
      </c>
      <c r="E32" s="20" t="s">
        <v>594</v>
      </c>
      <c r="F32" s="23">
        <v>1.7</v>
      </c>
      <c r="G32" s="20">
        <v>2015</v>
      </c>
      <c r="I32" s="23">
        <f t="shared" si="2"/>
        <v>1.7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2:13" ht="12.75">
      <c r="B34" s="22"/>
      <c r="D34" s="11"/>
      <c r="E34" s="20"/>
      <c r="F34" s="21"/>
      <c r="G34" s="8"/>
      <c r="I34" s="24">
        <f>+SUM(I5:I32)</f>
        <v>143.54999999999995</v>
      </c>
      <c r="J34" s="24">
        <f>+SUM(J5:J32)</f>
        <v>114.95</v>
      </c>
      <c r="K34" s="24">
        <f>+SUM(K5:K32)</f>
        <v>58.400000000000006</v>
      </c>
      <c r="L34" s="24">
        <f>+SUM(L5:L32)</f>
        <v>33.45</v>
      </c>
      <c r="M34" s="24">
        <f>+SUM(M5:M32)</f>
        <v>19.8</v>
      </c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2015</v>
      </c>
      <c r="J38" s="14">
        <f>+J$3</f>
        <v>2016</v>
      </c>
      <c r="K38" s="14">
        <f>+K$3</f>
        <v>2017</v>
      </c>
      <c r="L38" s="14">
        <f>+L$3</f>
        <v>2018</v>
      </c>
      <c r="M38" s="14">
        <f>+M$3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54" t="s">
        <v>542</v>
      </c>
      <c r="C40" s="11" t="s">
        <v>17</v>
      </c>
      <c r="D40" s="11" t="s">
        <v>22</v>
      </c>
      <c r="E40" s="20" t="s">
        <v>441</v>
      </c>
      <c r="F40" s="21">
        <v>6.5</v>
      </c>
      <c r="G40" s="8">
        <v>2019</v>
      </c>
      <c r="I40" s="23">
        <f aca="true" t="shared" si="3" ref="I40:I45">+CEILING(IF($I$38&lt;=G40,F40*0.3,0),0.05)</f>
        <v>1.9500000000000002</v>
      </c>
      <c r="J40" s="23">
        <f aca="true" t="shared" si="4" ref="J40:J45">+CEILING(IF($J$38&lt;=G40,F40*0.3,0),0.05)</f>
        <v>1.9500000000000002</v>
      </c>
      <c r="K40" s="23">
        <f aca="true" t="shared" si="5" ref="K40:K45">+CEILING(IF($K$38&lt;=G40,F40*0.3,0),0.05)</f>
        <v>1.9500000000000002</v>
      </c>
      <c r="L40" s="23">
        <f aca="true" t="shared" si="6" ref="L40:L45">+CEILING(IF($L$38&lt;=G40,F40*0.3,0),0.05)</f>
        <v>1.9500000000000002</v>
      </c>
      <c r="M40" s="23">
        <f aca="true" t="shared" si="7" ref="M40:M45">+CEILING(IF($M$38&lt;=G40,F40*0.3,0),0.05)</f>
        <v>1.9500000000000002</v>
      </c>
    </row>
    <row r="41" spans="1:13" ht="12.75">
      <c r="A41" s="15">
        <v>2</v>
      </c>
      <c r="B41" s="54" t="s">
        <v>589</v>
      </c>
      <c r="C41" s="56" t="s">
        <v>26</v>
      </c>
      <c r="D41" s="56" t="s">
        <v>23</v>
      </c>
      <c r="E41" s="57" t="s">
        <v>441</v>
      </c>
      <c r="F41" s="21">
        <v>1.7</v>
      </c>
      <c r="G41" s="8">
        <v>2019</v>
      </c>
      <c r="I41" s="23">
        <f t="shared" si="3"/>
        <v>0.55</v>
      </c>
      <c r="J41" s="23">
        <f t="shared" si="4"/>
        <v>0.55</v>
      </c>
      <c r="K41" s="23">
        <f t="shared" si="5"/>
        <v>0.55</v>
      </c>
      <c r="L41" s="23">
        <f t="shared" si="6"/>
        <v>0.55</v>
      </c>
      <c r="M41" s="23">
        <f t="shared" si="7"/>
        <v>0.55</v>
      </c>
    </row>
    <row r="42" spans="1:13" ht="12.75">
      <c r="A42" s="15">
        <v>3</v>
      </c>
      <c r="B42" s="54" t="s">
        <v>365</v>
      </c>
      <c r="C42" s="11" t="s">
        <v>17</v>
      </c>
      <c r="D42" s="11" t="s">
        <v>45</v>
      </c>
      <c r="E42" s="20" t="s">
        <v>435</v>
      </c>
      <c r="F42" s="21">
        <v>7.05</v>
      </c>
      <c r="G42" s="8">
        <v>2018</v>
      </c>
      <c r="I42" s="23">
        <f t="shared" si="3"/>
        <v>2.15</v>
      </c>
      <c r="J42" s="23">
        <f t="shared" si="4"/>
        <v>2.15</v>
      </c>
      <c r="K42" s="23">
        <f t="shared" si="5"/>
        <v>2.15</v>
      </c>
      <c r="L42" s="23">
        <f t="shared" si="6"/>
        <v>2.15</v>
      </c>
      <c r="M42" s="23">
        <f t="shared" si="7"/>
        <v>0</v>
      </c>
    </row>
    <row r="43" spans="1:13" ht="12.75">
      <c r="A43" s="15">
        <v>4</v>
      </c>
      <c r="B43" s="54" t="s">
        <v>376</v>
      </c>
      <c r="C43" s="11" t="s">
        <v>17</v>
      </c>
      <c r="D43" s="56" t="s">
        <v>46</v>
      </c>
      <c r="E43" s="20" t="s">
        <v>435</v>
      </c>
      <c r="F43" s="23">
        <v>4.5</v>
      </c>
      <c r="G43" s="20">
        <v>2018</v>
      </c>
      <c r="I43" s="23">
        <f t="shared" si="3"/>
        <v>1.35</v>
      </c>
      <c r="J43" s="23">
        <f t="shared" si="4"/>
        <v>1.35</v>
      </c>
      <c r="K43" s="23">
        <f t="shared" si="5"/>
        <v>1.35</v>
      </c>
      <c r="L43" s="23">
        <f t="shared" si="6"/>
        <v>1.35</v>
      </c>
      <c r="M43" s="23">
        <f t="shared" si="7"/>
        <v>0</v>
      </c>
    </row>
    <row r="44" spans="1:13" ht="12.75">
      <c r="A44" s="15">
        <v>5</v>
      </c>
      <c r="B44" s="54" t="s">
        <v>375</v>
      </c>
      <c r="C44" s="11" t="s">
        <v>15</v>
      </c>
      <c r="D44" s="11" t="s">
        <v>38</v>
      </c>
      <c r="E44" s="20" t="s">
        <v>435</v>
      </c>
      <c r="F44" s="21">
        <v>4.25</v>
      </c>
      <c r="G44" s="8">
        <v>2018</v>
      </c>
      <c r="I44" s="23">
        <f t="shared" si="3"/>
        <v>1.3</v>
      </c>
      <c r="J44" s="23">
        <f t="shared" si="4"/>
        <v>1.3</v>
      </c>
      <c r="K44" s="23">
        <f t="shared" si="5"/>
        <v>1.3</v>
      </c>
      <c r="L44" s="23">
        <f t="shared" si="6"/>
        <v>1.3</v>
      </c>
      <c r="M44" s="23">
        <f t="shared" si="7"/>
        <v>0</v>
      </c>
    </row>
    <row r="45" spans="1:13" ht="12.75">
      <c r="A45" s="15">
        <v>6</v>
      </c>
      <c r="B45" s="55"/>
      <c r="D45" s="11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76</v>
      </c>
      <c r="C46" s="31"/>
      <c r="D46" s="31"/>
      <c r="E46" s="31"/>
      <c r="F46" s="25"/>
      <c r="G46" s="11"/>
      <c r="I46" s="23">
        <f>+CEILING(IF($I$38&lt;=G46,F46*0.3,0),0.05)</f>
        <v>0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7.3</v>
      </c>
      <c r="J48" s="19">
        <f>+SUM(J40:J47)</f>
        <v>7.3</v>
      </c>
      <c r="K48" s="19">
        <f>+SUM(K40:K47)</f>
        <v>7.3</v>
      </c>
      <c r="L48" s="19">
        <f>+SUM(L40:L47)</f>
        <v>7.3</v>
      </c>
      <c r="M48" s="19">
        <f>+SUM(M40:M47)</f>
        <v>2.5</v>
      </c>
    </row>
    <row r="50" spans="1:13" ht="15.75">
      <c r="A50" s="140" t="s">
        <v>49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2015</v>
      </c>
      <c r="J52" s="14">
        <f>+J$3</f>
        <v>2016</v>
      </c>
      <c r="K52" s="14">
        <f>+K$3</f>
        <v>2017</v>
      </c>
      <c r="L52" s="14">
        <f>+L$3</f>
        <v>2018</v>
      </c>
      <c r="M52" s="14">
        <f>+M$3</f>
        <v>2019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55" t="s">
        <v>193</v>
      </c>
      <c r="C54" s="11" t="s">
        <v>17</v>
      </c>
      <c r="D54" s="56" t="s">
        <v>35</v>
      </c>
      <c r="E54" s="20">
        <v>2014</v>
      </c>
      <c r="F54" s="21">
        <v>7.3</v>
      </c>
      <c r="G54" s="8">
        <v>2016</v>
      </c>
      <c r="I54" s="23">
        <f aca="true" t="shared" si="8" ref="I54:I60">+CEILING(IF($I$52=E54,F54,IF($I$52&lt;=G54,F54*0.3,0)),0.05)</f>
        <v>2.2</v>
      </c>
      <c r="J54" s="23">
        <f aca="true" t="shared" si="9" ref="J54:J60">+CEILING(IF($J$52&lt;=G54,F54*0.3,0),0.05)</f>
        <v>2.2</v>
      </c>
      <c r="K54" s="23">
        <f aca="true" t="shared" si="10" ref="K54:K60">+CEILING(IF($K$52&lt;=G54,F54*0.3,0),0.05)</f>
        <v>0</v>
      </c>
      <c r="L54" s="23">
        <f aca="true" t="shared" si="11" ref="L54:L60">+CEILING(IF($L$52&lt;=G54,F54*0.3,0),0.05)</f>
        <v>0</v>
      </c>
      <c r="M54" s="23">
        <f aca="true" t="shared" si="12" ref="M54:M60">CEILING(IF($M$52&lt;=G54,F54*0.3,0),0.05)</f>
        <v>0</v>
      </c>
    </row>
    <row r="55" spans="1:13" ht="12.75">
      <c r="A55" s="15">
        <v>2</v>
      </c>
      <c r="B55" s="54" t="s">
        <v>185</v>
      </c>
      <c r="C55" s="11" t="s">
        <v>18</v>
      </c>
      <c r="D55" s="11" t="s">
        <v>22</v>
      </c>
      <c r="E55" s="20">
        <v>2015</v>
      </c>
      <c r="F55" s="23">
        <v>1.55</v>
      </c>
      <c r="G55" s="20">
        <v>2015</v>
      </c>
      <c r="I55" s="23">
        <f t="shared" si="8"/>
        <v>1.55</v>
      </c>
      <c r="J55" s="23">
        <f t="shared" si="9"/>
        <v>0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54" t="s">
        <v>655</v>
      </c>
      <c r="C56" s="11" t="s">
        <v>31</v>
      </c>
      <c r="D56" s="11" t="s">
        <v>27</v>
      </c>
      <c r="E56" s="20">
        <v>2015</v>
      </c>
      <c r="F56" s="23">
        <v>1.7</v>
      </c>
      <c r="G56" s="20">
        <v>2015</v>
      </c>
      <c r="I56" s="23">
        <f t="shared" si="8"/>
        <v>1.7000000000000002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4" t="s">
        <v>411</v>
      </c>
      <c r="C57" s="11" t="s">
        <v>19</v>
      </c>
      <c r="D57" s="11" t="s">
        <v>20</v>
      </c>
      <c r="E57" s="20">
        <v>2015</v>
      </c>
      <c r="F57" s="21">
        <v>2.55</v>
      </c>
      <c r="G57" s="8">
        <v>2015</v>
      </c>
      <c r="I57" s="23">
        <f t="shared" si="8"/>
        <v>2.5500000000000003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54" t="s">
        <v>675</v>
      </c>
      <c r="C58" s="11" t="s">
        <v>37</v>
      </c>
      <c r="D58" s="11" t="s">
        <v>24</v>
      </c>
      <c r="E58" s="20">
        <v>2015</v>
      </c>
      <c r="F58" s="21">
        <v>1.7</v>
      </c>
      <c r="G58" s="8">
        <v>2015</v>
      </c>
      <c r="I58" s="23">
        <f t="shared" si="8"/>
        <v>1.7000000000000002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55" t="s">
        <v>158</v>
      </c>
      <c r="C59" s="11" t="s">
        <v>17</v>
      </c>
      <c r="D59" s="11" t="s">
        <v>25</v>
      </c>
      <c r="E59" s="20">
        <v>2015</v>
      </c>
      <c r="F59" s="21">
        <v>6.05</v>
      </c>
      <c r="G59" s="8">
        <v>2015</v>
      </c>
      <c r="I59" s="23">
        <f t="shared" si="8"/>
        <v>6.050000000000001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54" t="s">
        <v>607</v>
      </c>
      <c r="C60" s="56" t="s">
        <v>37</v>
      </c>
      <c r="D60" s="56" t="s">
        <v>85</v>
      </c>
      <c r="E60" s="57">
        <v>2015</v>
      </c>
      <c r="F60" s="21">
        <v>1.7</v>
      </c>
      <c r="G60" s="8">
        <v>2015</v>
      </c>
      <c r="I60" s="23">
        <f t="shared" si="8"/>
        <v>1.7000000000000002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54" t="s">
        <v>699</v>
      </c>
      <c r="C61" s="56" t="s">
        <v>37</v>
      </c>
      <c r="D61" s="56" t="s">
        <v>33</v>
      </c>
      <c r="E61" s="57">
        <v>2015</v>
      </c>
      <c r="F61" s="21">
        <v>1.7</v>
      </c>
      <c r="G61" s="8">
        <v>2015</v>
      </c>
      <c r="I61" s="23">
        <f aca="true" t="shared" si="13" ref="I61:I66">+CEILING(IF($I$52=E61,F61,IF($I$52&lt;=G61,F61*0.3,0)),0.05)</f>
        <v>1.7000000000000002</v>
      </c>
      <c r="J61" s="23">
        <f aca="true" t="shared" si="14" ref="J61:J66">+CEILING(IF($J$52&lt;=G61,F61*0.3,0),0.05)</f>
        <v>0</v>
      </c>
      <c r="K61" s="23">
        <f aca="true" t="shared" si="15" ref="K61:K66">+CEILING(IF($K$52&lt;=G61,F61*0.3,0),0.05)</f>
        <v>0</v>
      </c>
      <c r="L61" s="23">
        <f aca="true" t="shared" si="16" ref="L61:L66">+CEILING(IF($L$52&lt;=G61,F61*0.3,0),0.05)</f>
        <v>0</v>
      </c>
      <c r="M61" s="23">
        <f aca="true" t="shared" si="17" ref="M61:M66">CEILING(IF($M$52&lt;=G61,F61*0.3,0),0.05)</f>
        <v>0</v>
      </c>
    </row>
    <row r="62" spans="1:13" ht="12.75">
      <c r="A62" s="15">
        <v>9</v>
      </c>
      <c r="B62" s="55" t="s">
        <v>139</v>
      </c>
      <c r="C62" s="11" t="s">
        <v>37</v>
      </c>
      <c r="D62" s="11" t="s">
        <v>16</v>
      </c>
      <c r="E62" s="20">
        <v>2015</v>
      </c>
      <c r="F62" s="21">
        <v>2.95</v>
      </c>
      <c r="G62" s="8">
        <v>2015</v>
      </c>
      <c r="I62" s="23">
        <f t="shared" si="13"/>
        <v>2.95</v>
      </c>
      <c r="J62" s="23">
        <f t="shared" si="14"/>
        <v>0</v>
      </c>
      <c r="K62" s="23">
        <f t="shared" si="15"/>
        <v>0</v>
      </c>
      <c r="L62" s="23">
        <f t="shared" si="16"/>
        <v>0</v>
      </c>
      <c r="M62" s="23">
        <f t="shared" si="17"/>
        <v>0</v>
      </c>
    </row>
    <row r="63" spans="1:13" ht="12.75">
      <c r="A63" s="15">
        <v>10</v>
      </c>
      <c r="B63" s="55" t="s">
        <v>117</v>
      </c>
      <c r="C63" s="11" t="s">
        <v>37</v>
      </c>
      <c r="D63" s="56" t="s">
        <v>81</v>
      </c>
      <c r="E63" s="20">
        <v>2015</v>
      </c>
      <c r="F63" s="21">
        <v>4.1</v>
      </c>
      <c r="G63" s="8">
        <v>2015</v>
      </c>
      <c r="I63" s="23">
        <f t="shared" si="13"/>
        <v>4.1000000000000005</v>
      </c>
      <c r="J63" s="23">
        <f t="shared" si="14"/>
        <v>0</v>
      </c>
      <c r="K63" s="23">
        <f t="shared" si="15"/>
        <v>0</v>
      </c>
      <c r="L63" s="23">
        <f t="shared" si="16"/>
        <v>0</v>
      </c>
      <c r="M63" s="23">
        <f t="shared" si="17"/>
        <v>0</v>
      </c>
    </row>
    <row r="64" spans="1:13" ht="12.75">
      <c r="A64" s="15">
        <v>11</v>
      </c>
      <c r="B64" s="55" t="s">
        <v>735</v>
      </c>
      <c r="C64" s="11" t="s">
        <v>37</v>
      </c>
      <c r="D64" s="11" t="s">
        <v>39</v>
      </c>
      <c r="E64" s="20">
        <v>2015</v>
      </c>
      <c r="F64" s="21">
        <v>1.7</v>
      </c>
      <c r="G64" s="8">
        <v>2015</v>
      </c>
      <c r="I64" s="23">
        <f t="shared" si="13"/>
        <v>1.7000000000000002</v>
      </c>
      <c r="J64" s="23">
        <f t="shared" si="14"/>
        <v>0</v>
      </c>
      <c r="K64" s="23">
        <f t="shared" si="15"/>
        <v>0</v>
      </c>
      <c r="L64" s="23">
        <f t="shared" si="16"/>
        <v>0</v>
      </c>
      <c r="M64" s="23">
        <f t="shared" si="17"/>
        <v>0</v>
      </c>
    </row>
    <row r="65" spans="1:13" ht="12.75">
      <c r="A65" s="15">
        <v>12</v>
      </c>
      <c r="B65" s="55" t="s">
        <v>751</v>
      </c>
      <c r="C65" s="11" t="s">
        <v>37</v>
      </c>
      <c r="D65" s="11" t="s">
        <v>30</v>
      </c>
      <c r="E65" s="20">
        <v>2015</v>
      </c>
      <c r="F65" s="21">
        <v>1.7</v>
      </c>
      <c r="G65" s="8">
        <v>2015</v>
      </c>
      <c r="I65" s="23">
        <f t="shared" si="13"/>
        <v>1.7000000000000002</v>
      </c>
      <c r="J65" s="23">
        <f t="shared" si="14"/>
        <v>0</v>
      </c>
      <c r="K65" s="23">
        <f t="shared" si="15"/>
        <v>0</v>
      </c>
      <c r="L65" s="23">
        <f t="shared" si="16"/>
        <v>0</v>
      </c>
      <c r="M65" s="23">
        <f t="shared" si="17"/>
        <v>0</v>
      </c>
    </row>
    <row r="66" spans="1:13" ht="12.75">
      <c r="A66" s="15">
        <v>13</v>
      </c>
      <c r="B66" s="55" t="s">
        <v>750</v>
      </c>
      <c r="C66" s="11" t="s">
        <v>37</v>
      </c>
      <c r="D66" s="56" t="s">
        <v>20</v>
      </c>
      <c r="E66" s="20">
        <v>2015</v>
      </c>
      <c r="F66" s="21">
        <v>1.7</v>
      </c>
      <c r="G66" s="8">
        <v>2015</v>
      </c>
      <c r="I66" s="23">
        <f t="shared" si="13"/>
        <v>1.7000000000000002</v>
      </c>
      <c r="J66" s="23">
        <f t="shared" si="14"/>
        <v>0</v>
      </c>
      <c r="K66" s="23">
        <f t="shared" si="15"/>
        <v>0</v>
      </c>
      <c r="L66" s="23">
        <f t="shared" si="16"/>
        <v>0</v>
      </c>
      <c r="M66" s="23">
        <f t="shared" si="17"/>
        <v>0</v>
      </c>
    </row>
    <row r="67" spans="1:13" ht="12.75">
      <c r="A67" s="15">
        <v>14</v>
      </c>
      <c r="B67" s="54" t="s">
        <v>505</v>
      </c>
      <c r="C67" s="11" t="s">
        <v>17</v>
      </c>
      <c r="D67" s="11" t="s">
        <v>226</v>
      </c>
      <c r="E67" s="20">
        <v>2015</v>
      </c>
      <c r="F67" s="21">
        <v>9.25</v>
      </c>
      <c r="G67" s="8">
        <v>2015</v>
      </c>
      <c r="I67" s="23">
        <f>+CEILING(IF($I$52=E67,F67,IF($I$52&lt;=G67,F67*0.3,0)),0.05)</f>
        <v>9.25</v>
      </c>
      <c r="J67" s="23">
        <f>+CEILING(IF($J$52&lt;=G67,F67*0.3,0),0.05)</f>
        <v>0</v>
      </c>
      <c r="K67" s="23">
        <f>+CEILING(IF($K$52&lt;=G67,F67*0.3,0),0.05)</f>
        <v>0</v>
      </c>
      <c r="L67" s="23">
        <f>+CEILING(IF($L$52&lt;=G67,F67*0.3,0),0.05)</f>
        <v>0</v>
      </c>
      <c r="M67" s="23">
        <f>CEILING(IF($M$52&lt;=G67,F67*0.3,0),0.05)</f>
        <v>0</v>
      </c>
    </row>
    <row r="68" spans="1:13" ht="12.75">
      <c r="A68" s="15">
        <v>15</v>
      </c>
      <c r="B68" s="30"/>
      <c r="D68" s="56"/>
      <c r="E68" s="20"/>
      <c r="F68" s="21"/>
      <c r="G68" s="8"/>
      <c r="I68" s="23">
        <f>+CEILING(IF($I$52=E68,F68,IF($I$52&lt;=G68,F68*0.3,0)),0.05)</f>
        <v>0</v>
      </c>
      <c r="J68" s="23">
        <f>+CEILING(IF($J$52&lt;=G68,F68*0.3,0),0.05)</f>
        <v>0</v>
      </c>
      <c r="K68" s="23">
        <f>+CEILING(IF($K$52&lt;=G68,F68*0.3,0),0.05)</f>
        <v>0</v>
      </c>
      <c r="L68" s="23">
        <f>+CEILING(IF($L$52&lt;=G68,F68*0.3,0),0.05)</f>
        <v>0</v>
      </c>
      <c r="M68" s="23">
        <f>CEILING(IF($M$52&lt;=G68,F68*0.3,0),0.05)</f>
        <v>0</v>
      </c>
    </row>
    <row r="69" spans="1:13" ht="12.75">
      <c r="A69" s="15">
        <v>16</v>
      </c>
      <c r="B69" s="53"/>
      <c r="D69" s="58"/>
      <c r="E69" s="20"/>
      <c r="F69" s="21"/>
      <c r="G69" s="8"/>
      <c r="I69" s="23">
        <f>+CEILING(IF($I$52=E69,F69,IF($I$52&lt;=G69,F69*0.3,0)),0.05)</f>
        <v>0</v>
      </c>
      <c r="J69" s="23">
        <f>+CEILING(IF($J$52&lt;=G69,F69*0.3,0),0.05)</f>
        <v>0</v>
      </c>
      <c r="K69" s="23">
        <f>+CEILING(IF($K$52&lt;=G69,F69*0.3,0),0.05)</f>
        <v>0</v>
      </c>
      <c r="L69" s="23">
        <f>+CEILING(IF($L$52&lt;=G69,F69*0.3,0),0.05)</f>
        <v>0</v>
      </c>
      <c r="M69" s="23">
        <f>CEILING(IF($M$52&lt;=G69,F69*0.3,0),0.05)</f>
        <v>0</v>
      </c>
    </row>
    <row r="70" spans="1:13" ht="12.75">
      <c r="A70" s="15">
        <v>17</v>
      </c>
      <c r="B70" s="30"/>
      <c r="D70" s="11"/>
      <c r="E70" s="20"/>
      <c r="F70" s="21"/>
      <c r="G70" s="8"/>
      <c r="I70" s="23">
        <f>+CEILING(IF($I$52=E70,F70,IF($I$52&lt;=G70,F70*0.3,0)),0.05)</f>
        <v>0</v>
      </c>
      <c r="J70" s="23">
        <f>+CEILING(IF($J$52&lt;=G70,F70*0.3,0),0.05)</f>
        <v>0</v>
      </c>
      <c r="K70" s="23">
        <f>+CEILING(IF($K$52&lt;=G70,F70*0.3,0),0.05)</f>
        <v>0</v>
      </c>
      <c r="L70" s="23">
        <f>+CEILING(IF($L$52&lt;=G70,F70*0.3,0),0.05)</f>
        <v>0</v>
      </c>
      <c r="M70" s="23">
        <f>CEILING(IF($M$52&lt;=G70,F70*0.3,0),0.05)</f>
        <v>0</v>
      </c>
    </row>
    <row r="71" spans="9:13" ht="7.5" customHeight="1">
      <c r="I71" s="22"/>
      <c r="J71" s="22"/>
      <c r="K71" s="22"/>
      <c r="L71" s="22"/>
      <c r="M71" s="22"/>
    </row>
    <row r="72" spans="9:13" ht="12.75">
      <c r="I72" s="24">
        <f>+SUM(I54:I71)</f>
        <v>40.55</v>
      </c>
      <c r="J72" s="24">
        <f>+SUM(J54:J71)</f>
        <v>2.2</v>
      </c>
      <c r="K72" s="24">
        <f>+SUM(K54:K71)</f>
        <v>0</v>
      </c>
      <c r="L72" s="24">
        <f>+SUM(L54:L71)</f>
        <v>0</v>
      </c>
      <c r="M72" s="24">
        <f>+SUM(M54:M71)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63" sqref="B63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10" t="s">
        <v>512</v>
      </c>
      <c r="C5" s="11" t="s">
        <v>19</v>
      </c>
      <c r="D5" s="11" t="s">
        <v>439</v>
      </c>
      <c r="E5" s="20" t="s">
        <v>441</v>
      </c>
      <c r="F5" s="21">
        <v>13.2</v>
      </c>
      <c r="G5" s="8">
        <v>2019</v>
      </c>
      <c r="I5" s="23">
        <f aca="true" t="shared" si="0" ref="I5:M14">+IF($G5&gt;=I$3,$F5,0)</f>
        <v>13.2</v>
      </c>
      <c r="J5" s="23">
        <f t="shared" si="0"/>
        <v>13.2</v>
      </c>
      <c r="K5" s="23">
        <f t="shared" si="0"/>
        <v>13.2</v>
      </c>
      <c r="L5" s="23">
        <f t="shared" si="0"/>
        <v>13.2</v>
      </c>
      <c r="M5" s="23">
        <f t="shared" si="0"/>
        <v>13.2</v>
      </c>
    </row>
    <row r="6" spans="1:13" ht="12.75">
      <c r="A6" s="15">
        <v>2</v>
      </c>
      <c r="B6" s="59" t="s">
        <v>457</v>
      </c>
      <c r="C6" s="11" t="s">
        <v>17</v>
      </c>
      <c r="D6" s="11" t="s">
        <v>439</v>
      </c>
      <c r="E6" s="20" t="s">
        <v>441</v>
      </c>
      <c r="F6" s="25">
        <v>10.5</v>
      </c>
      <c r="G6" s="11">
        <v>2019</v>
      </c>
      <c r="I6" s="23">
        <f t="shared" si="0"/>
        <v>10.5</v>
      </c>
      <c r="J6" s="23">
        <f t="shared" si="0"/>
        <v>10.5</v>
      </c>
      <c r="K6" s="23">
        <f t="shared" si="0"/>
        <v>10.5</v>
      </c>
      <c r="L6" s="23">
        <f t="shared" si="0"/>
        <v>10.5</v>
      </c>
      <c r="M6" s="23">
        <f t="shared" si="0"/>
        <v>10.5</v>
      </c>
    </row>
    <row r="7" spans="1:13" ht="12.75">
      <c r="A7" s="15">
        <v>3</v>
      </c>
      <c r="B7" s="54" t="s">
        <v>562</v>
      </c>
      <c r="C7" s="56" t="s">
        <v>37</v>
      </c>
      <c r="D7" s="56" t="s">
        <v>21</v>
      </c>
      <c r="E7" s="57" t="s">
        <v>441</v>
      </c>
      <c r="F7" s="21">
        <v>7.75</v>
      </c>
      <c r="G7" s="8">
        <v>2019</v>
      </c>
      <c r="I7" s="23">
        <f t="shared" si="0"/>
        <v>7.75</v>
      </c>
      <c r="J7" s="23">
        <f t="shared" si="0"/>
        <v>7.75</v>
      </c>
      <c r="K7" s="23">
        <f t="shared" si="0"/>
        <v>7.75</v>
      </c>
      <c r="L7" s="23">
        <f t="shared" si="0"/>
        <v>7.75</v>
      </c>
      <c r="M7" s="23">
        <f t="shared" si="0"/>
        <v>7.75</v>
      </c>
    </row>
    <row r="8" spans="1:13" ht="12.75">
      <c r="A8" s="15">
        <v>4</v>
      </c>
      <c r="B8" s="59" t="s">
        <v>586</v>
      </c>
      <c r="C8" s="56" t="s">
        <v>31</v>
      </c>
      <c r="D8" s="56" t="s">
        <v>44</v>
      </c>
      <c r="E8" s="57" t="s">
        <v>441</v>
      </c>
      <c r="F8" s="21">
        <v>2.2</v>
      </c>
      <c r="G8" s="8">
        <v>2019</v>
      </c>
      <c r="I8" s="23">
        <f t="shared" si="0"/>
        <v>2.2</v>
      </c>
      <c r="J8" s="23">
        <f t="shared" si="0"/>
        <v>2.2</v>
      </c>
      <c r="K8" s="23">
        <f t="shared" si="0"/>
        <v>2.2</v>
      </c>
      <c r="L8" s="23">
        <f t="shared" si="0"/>
        <v>2.2</v>
      </c>
      <c r="M8" s="23">
        <f t="shared" si="0"/>
        <v>2.2</v>
      </c>
    </row>
    <row r="9" spans="1:13" ht="12.75">
      <c r="A9" s="15">
        <v>5</v>
      </c>
      <c r="B9" s="59" t="s">
        <v>285</v>
      </c>
      <c r="C9" s="56" t="s">
        <v>19</v>
      </c>
      <c r="D9" s="56" t="s">
        <v>27</v>
      </c>
      <c r="E9" s="57" t="s">
        <v>441</v>
      </c>
      <c r="F9" s="21">
        <v>1.7</v>
      </c>
      <c r="G9" s="8">
        <v>2019</v>
      </c>
      <c r="I9" s="23">
        <f t="shared" si="0"/>
        <v>1.7</v>
      </c>
      <c r="J9" s="23">
        <f t="shared" si="0"/>
        <v>1.7</v>
      </c>
      <c r="K9" s="23">
        <f t="shared" si="0"/>
        <v>1.7</v>
      </c>
      <c r="L9" s="23">
        <f t="shared" si="0"/>
        <v>1.7</v>
      </c>
      <c r="M9" s="23">
        <f t="shared" si="0"/>
        <v>1.7</v>
      </c>
    </row>
    <row r="10" spans="1:13" ht="12.75">
      <c r="A10" s="15">
        <v>6</v>
      </c>
      <c r="B10" s="59" t="s">
        <v>373</v>
      </c>
      <c r="C10" s="11" t="s">
        <v>17</v>
      </c>
      <c r="D10" s="11" t="s">
        <v>81</v>
      </c>
      <c r="E10" s="57" t="s">
        <v>437</v>
      </c>
      <c r="F10" s="21">
        <v>14.1</v>
      </c>
      <c r="G10" s="8">
        <v>2018</v>
      </c>
      <c r="I10" s="23">
        <f t="shared" si="0"/>
        <v>14.1</v>
      </c>
      <c r="J10" s="23">
        <f t="shared" si="0"/>
        <v>14.1</v>
      </c>
      <c r="K10" s="23">
        <f t="shared" si="0"/>
        <v>14.1</v>
      </c>
      <c r="L10" s="23">
        <f t="shared" si="0"/>
        <v>14.1</v>
      </c>
      <c r="M10" s="23">
        <f t="shared" si="0"/>
        <v>0</v>
      </c>
    </row>
    <row r="11" spans="1:13" ht="12.75">
      <c r="A11" s="15">
        <v>7</v>
      </c>
      <c r="B11" s="54" t="s">
        <v>393</v>
      </c>
      <c r="C11" s="11" t="s">
        <v>18</v>
      </c>
      <c r="D11" s="11" t="s">
        <v>16</v>
      </c>
      <c r="E11" s="20" t="s">
        <v>437</v>
      </c>
      <c r="F11" s="21">
        <v>2.95</v>
      </c>
      <c r="G11" s="9">
        <v>2018</v>
      </c>
      <c r="I11" s="23">
        <f t="shared" si="0"/>
        <v>2.95</v>
      </c>
      <c r="J11" s="23">
        <f t="shared" si="0"/>
        <v>2.95</v>
      </c>
      <c r="K11" s="23">
        <f t="shared" si="0"/>
        <v>2.95</v>
      </c>
      <c r="L11" s="23">
        <f t="shared" si="0"/>
        <v>2.95</v>
      </c>
      <c r="M11" s="23">
        <f t="shared" si="0"/>
        <v>0</v>
      </c>
    </row>
    <row r="12" spans="1:13" ht="12.75">
      <c r="A12" s="15">
        <v>8</v>
      </c>
      <c r="B12" s="54" t="s">
        <v>397</v>
      </c>
      <c r="C12" s="11" t="s">
        <v>19</v>
      </c>
      <c r="D12" s="11" t="s">
        <v>42</v>
      </c>
      <c r="E12" s="20" t="s">
        <v>437</v>
      </c>
      <c r="F12" s="21">
        <v>1.8</v>
      </c>
      <c r="G12" s="8">
        <v>2018</v>
      </c>
      <c r="I12" s="23">
        <f t="shared" si="0"/>
        <v>1.8</v>
      </c>
      <c r="J12" s="23">
        <f t="shared" si="0"/>
        <v>1.8</v>
      </c>
      <c r="K12" s="23">
        <f t="shared" si="0"/>
        <v>1.8</v>
      </c>
      <c r="L12" s="23">
        <f t="shared" si="0"/>
        <v>1.8</v>
      </c>
      <c r="M12" s="23">
        <f t="shared" si="0"/>
        <v>0</v>
      </c>
    </row>
    <row r="13" spans="1:13" ht="12.75">
      <c r="A13" s="15">
        <v>9</v>
      </c>
      <c r="B13" s="59" t="s">
        <v>395</v>
      </c>
      <c r="C13" s="11" t="s">
        <v>31</v>
      </c>
      <c r="D13" s="56" t="s">
        <v>25</v>
      </c>
      <c r="E13" s="20" t="s">
        <v>437</v>
      </c>
      <c r="F13" s="21">
        <v>1.55</v>
      </c>
      <c r="G13" s="8">
        <v>2018</v>
      </c>
      <c r="I13" s="23">
        <f t="shared" si="0"/>
        <v>1.55</v>
      </c>
      <c r="J13" s="23">
        <f t="shared" si="0"/>
        <v>1.55</v>
      </c>
      <c r="K13" s="23">
        <f t="shared" si="0"/>
        <v>1.55</v>
      </c>
      <c r="L13" s="23">
        <f t="shared" si="0"/>
        <v>1.55</v>
      </c>
      <c r="M13" s="23">
        <f t="shared" si="0"/>
        <v>0</v>
      </c>
    </row>
    <row r="14" spans="1:13" ht="12.75">
      <c r="A14" s="15">
        <v>10</v>
      </c>
      <c r="B14" s="59" t="s">
        <v>335</v>
      </c>
      <c r="C14" s="11" t="s">
        <v>17</v>
      </c>
      <c r="D14" s="11" t="s">
        <v>16</v>
      </c>
      <c r="E14" s="20" t="s">
        <v>437</v>
      </c>
      <c r="F14" s="21">
        <v>1.55</v>
      </c>
      <c r="G14" s="8">
        <v>2018</v>
      </c>
      <c r="I14" s="23">
        <f t="shared" si="0"/>
        <v>1.55</v>
      </c>
      <c r="J14" s="23">
        <f t="shared" si="0"/>
        <v>1.55</v>
      </c>
      <c r="K14" s="23">
        <f t="shared" si="0"/>
        <v>1.55</v>
      </c>
      <c r="L14" s="23">
        <f t="shared" si="0"/>
        <v>1.55</v>
      </c>
      <c r="M14" s="23">
        <f t="shared" si="0"/>
        <v>0</v>
      </c>
    </row>
    <row r="15" spans="1:13" ht="12.75">
      <c r="A15" s="15">
        <v>11</v>
      </c>
      <c r="B15" s="59" t="s">
        <v>248</v>
      </c>
      <c r="C15" s="11" t="s">
        <v>17</v>
      </c>
      <c r="D15" s="11" t="s">
        <v>45</v>
      </c>
      <c r="E15" s="20" t="s">
        <v>517</v>
      </c>
      <c r="F15" s="21">
        <v>13.25</v>
      </c>
      <c r="G15" s="8">
        <v>2017</v>
      </c>
      <c r="I15" s="23">
        <f aca="true" t="shared" si="1" ref="I15:M24">+IF($G15&gt;=I$3,$F15,0)</f>
        <v>13.25</v>
      </c>
      <c r="J15" s="23">
        <f t="shared" si="1"/>
        <v>13.25</v>
      </c>
      <c r="K15" s="23">
        <f t="shared" si="1"/>
        <v>13.25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54" t="s">
        <v>292</v>
      </c>
      <c r="C16" s="11" t="s">
        <v>17</v>
      </c>
      <c r="D16" s="11" t="s">
        <v>32</v>
      </c>
      <c r="E16" s="20" t="s">
        <v>517</v>
      </c>
      <c r="F16" s="25">
        <v>8.1</v>
      </c>
      <c r="G16" s="11">
        <v>2017</v>
      </c>
      <c r="I16" s="23">
        <f t="shared" si="1"/>
        <v>8.1</v>
      </c>
      <c r="J16" s="23">
        <f t="shared" si="1"/>
        <v>8.1</v>
      </c>
      <c r="K16" s="23">
        <f t="shared" si="1"/>
        <v>8.1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54" t="s">
        <v>311</v>
      </c>
      <c r="C17" s="11" t="s">
        <v>37</v>
      </c>
      <c r="D17" s="11" t="s">
        <v>48</v>
      </c>
      <c r="E17" s="20" t="s">
        <v>517</v>
      </c>
      <c r="F17" s="21">
        <v>2.15</v>
      </c>
      <c r="G17" s="9">
        <v>2017</v>
      </c>
      <c r="I17" s="23">
        <f t="shared" si="1"/>
        <v>2.15</v>
      </c>
      <c r="J17" s="23">
        <f t="shared" si="1"/>
        <v>2.15</v>
      </c>
      <c r="K17" s="23">
        <f t="shared" si="1"/>
        <v>2.15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54" t="s">
        <v>170</v>
      </c>
      <c r="C18" s="11" t="s">
        <v>40</v>
      </c>
      <c r="D18" s="11" t="s">
        <v>20</v>
      </c>
      <c r="E18" s="20" t="s">
        <v>518</v>
      </c>
      <c r="F18" s="25">
        <v>6.4</v>
      </c>
      <c r="G18" s="11">
        <v>2016</v>
      </c>
      <c r="I18" s="23">
        <f t="shared" si="1"/>
        <v>6.4</v>
      </c>
      <c r="J18" s="23">
        <f t="shared" si="1"/>
        <v>6.4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4" t="s">
        <v>230</v>
      </c>
      <c r="C19" s="11" t="s">
        <v>15</v>
      </c>
      <c r="D19" s="11" t="s">
        <v>39</v>
      </c>
      <c r="E19" s="20" t="s">
        <v>434</v>
      </c>
      <c r="F19" s="21">
        <v>6.1</v>
      </c>
      <c r="G19" s="8">
        <v>2016</v>
      </c>
      <c r="I19" s="23">
        <f t="shared" si="1"/>
        <v>6.1</v>
      </c>
      <c r="J19" s="23">
        <f t="shared" si="1"/>
        <v>6.1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4" t="s">
        <v>89</v>
      </c>
      <c r="C20" s="11" t="s">
        <v>19</v>
      </c>
      <c r="D20" s="56" t="s">
        <v>438</v>
      </c>
      <c r="E20" s="20" t="s">
        <v>518</v>
      </c>
      <c r="F20" s="21">
        <v>5.3</v>
      </c>
      <c r="G20" s="8">
        <v>2016</v>
      </c>
      <c r="I20" s="23">
        <f t="shared" si="1"/>
        <v>5.3</v>
      </c>
      <c r="J20" s="23">
        <f t="shared" si="1"/>
        <v>5.3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4" t="s">
        <v>213</v>
      </c>
      <c r="C21" s="11" t="s">
        <v>15</v>
      </c>
      <c r="D21" s="56" t="s">
        <v>81</v>
      </c>
      <c r="E21" s="20" t="s">
        <v>434</v>
      </c>
      <c r="F21" s="21">
        <v>5.25</v>
      </c>
      <c r="G21" s="9">
        <v>2016</v>
      </c>
      <c r="I21" s="23">
        <f t="shared" si="1"/>
        <v>5.25</v>
      </c>
      <c r="J21" s="23">
        <f t="shared" si="1"/>
        <v>5.25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10" t="s">
        <v>398</v>
      </c>
      <c r="C22" s="11" t="s">
        <v>37</v>
      </c>
      <c r="D22" s="56" t="s">
        <v>34</v>
      </c>
      <c r="E22" s="20" t="s">
        <v>435</v>
      </c>
      <c r="F22" s="21">
        <v>4.05</v>
      </c>
      <c r="G22" s="8">
        <v>2016</v>
      </c>
      <c r="I22" s="23">
        <f t="shared" si="1"/>
        <v>4.05</v>
      </c>
      <c r="J22" s="23">
        <f t="shared" si="1"/>
        <v>4.05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9" t="s">
        <v>372</v>
      </c>
      <c r="C23" s="11" t="s">
        <v>19</v>
      </c>
      <c r="D23" s="11" t="s">
        <v>33</v>
      </c>
      <c r="E23" s="57" t="s">
        <v>437</v>
      </c>
      <c r="F23" s="21">
        <v>1.55</v>
      </c>
      <c r="G23" s="8">
        <v>2016</v>
      </c>
      <c r="I23" s="23">
        <f t="shared" si="1"/>
        <v>1.55</v>
      </c>
      <c r="J23" s="23">
        <f t="shared" si="1"/>
        <v>1.55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59" t="s">
        <v>458</v>
      </c>
      <c r="C24" s="11" t="s">
        <v>19</v>
      </c>
      <c r="D24" s="56" t="s">
        <v>39</v>
      </c>
      <c r="E24" s="20" t="s">
        <v>441</v>
      </c>
      <c r="F24" s="21">
        <v>15.8</v>
      </c>
      <c r="G24" s="8">
        <v>2015</v>
      </c>
      <c r="I24" s="23">
        <f t="shared" si="1"/>
        <v>15.8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54" t="s">
        <v>444</v>
      </c>
      <c r="C25" s="11" t="s">
        <v>26</v>
      </c>
      <c r="D25" s="56" t="s">
        <v>81</v>
      </c>
      <c r="E25" s="20" t="s">
        <v>441</v>
      </c>
      <c r="F25" s="21">
        <v>15.05</v>
      </c>
      <c r="G25" s="9">
        <v>2015</v>
      </c>
      <c r="I25" s="23">
        <f aca="true" t="shared" si="2" ref="I25:M32">+IF($G25&gt;=I$3,$F25,0)</f>
        <v>15.05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10" t="s">
        <v>741</v>
      </c>
      <c r="C26" s="11" t="s">
        <v>37</v>
      </c>
      <c r="D26" s="11" t="s">
        <v>29</v>
      </c>
      <c r="E26" s="20" t="s">
        <v>594</v>
      </c>
      <c r="F26" s="21">
        <v>1.7</v>
      </c>
      <c r="G26" s="8">
        <v>2015</v>
      </c>
      <c r="I26" s="23">
        <f t="shared" si="2"/>
        <v>1.7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9" t="s">
        <v>109</v>
      </c>
      <c r="C27" s="11" t="s">
        <v>18</v>
      </c>
      <c r="D27" s="56" t="s">
        <v>24</v>
      </c>
      <c r="E27" s="20" t="s">
        <v>519</v>
      </c>
      <c r="F27" s="21">
        <v>7.35</v>
      </c>
      <c r="G27" s="8">
        <v>2015</v>
      </c>
      <c r="I27" s="23">
        <f t="shared" si="2"/>
        <v>7.35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9" t="s">
        <v>538</v>
      </c>
      <c r="C28" s="11" t="s">
        <v>37</v>
      </c>
      <c r="D28" s="11" t="s">
        <v>51</v>
      </c>
      <c r="E28" s="20" t="s">
        <v>441</v>
      </c>
      <c r="F28" s="21">
        <v>3.15</v>
      </c>
      <c r="G28" s="8">
        <v>2015</v>
      </c>
      <c r="I28" s="23">
        <f t="shared" si="2"/>
        <v>3.15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49" t="s">
        <v>748</v>
      </c>
      <c r="C29" s="11" t="s">
        <v>37</v>
      </c>
      <c r="D29" s="11" t="s">
        <v>34</v>
      </c>
      <c r="E29" s="20" t="s">
        <v>594</v>
      </c>
      <c r="F29" s="21">
        <v>1.7</v>
      </c>
      <c r="G29" s="8">
        <v>2015</v>
      </c>
      <c r="I29" s="23">
        <f t="shared" si="2"/>
        <v>1.7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42" t="s">
        <v>722</v>
      </c>
      <c r="C30" s="11" t="s">
        <v>37</v>
      </c>
      <c r="D30" s="11" t="s">
        <v>36</v>
      </c>
      <c r="E30" s="20" t="s">
        <v>594</v>
      </c>
      <c r="F30" s="21">
        <v>1.7</v>
      </c>
      <c r="G30" s="9">
        <v>2015</v>
      </c>
      <c r="I30" s="23">
        <f t="shared" si="2"/>
        <v>1.7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10" t="s">
        <v>744</v>
      </c>
      <c r="C31" s="11" t="s">
        <v>17</v>
      </c>
      <c r="D31" s="56" t="s">
        <v>30</v>
      </c>
      <c r="E31" s="20" t="s">
        <v>594</v>
      </c>
      <c r="F31" s="21">
        <v>1.7</v>
      </c>
      <c r="G31" s="9">
        <v>2015</v>
      </c>
      <c r="I31" s="23">
        <f t="shared" si="2"/>
        <v>1.7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59" t="s">
        <v>278</v>
      </c>
      <c r="C32" s="11" t="s">
        <v>37</v>
      </c>
      <c r="D32" s="11" t="s">
        <v>28</v>
      </c>
      <c r="E32" s="20" t="s">
        <v>594</v>
      </c>
      <c r="F32" s="21">
        <v>1.7</v>
      </c>
      <c r="G32" s="8">
        <v>2015</v>
      </c>
      <c r="I32" s="23">
        <f t="shared" si="2"/>
        <v>1.7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9:13" ht="12.75">
      <c r="I34" s="24">
        <f>+SUM(I5:I32)</f>
        <v>159.29999999999993</v>
      </c>
      <c r="J34" s="24">
        <f>+SUM(J5:J32)</f>
        <v>109.44999999999999</v>
      </c>
      <c r="K34" s="24">
        <f>+SUM(K5:K32)</f>
        <v>80.8</v>
      </c>
      <c r="L34" s="24">
        <f>+SUM(L5:L32)</f>
        <v>57.3</v>
      </c>
      <c r="M34" s="24">
        <f>+SUM(M5:M32)</f>
        <v>35.35</v>
      </c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2015</v>
      </c>
      <c r="J38" s="14">
        <f>+J$3</f>
        <v>2016</v>
      </c>
      <c r="K38" s="14">
        <f>+K$3</f>
        <v>2017</v>
      </c>
      <c r="L38" s="14">
        <f>+L$3</f>
        <v>2018</v>
      </c>
      <c r="M38" s="14">
        <f>+M$3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10" t="s">
        <v>445</v>
      </c>
      <c r="C40" s="11" t="s">
        <v>26</v>
      </c>
      <c r="D40" s="56" t="s">
        <v>25</v>
      </c>
      <c r="E40" s="20" t="s">
        <v>676</v>
      </c>
      <c r="F40" s="21">
        <v>12.5</v>
      </c>
      <c r="G40" s="8">
        <v>2019</v>
      </c>
      <c r="I40" s="23">
        <f aca="true" t="shared" si="3" ref="I40:I46">+CEILING(IF($I$38&lt;=G40,F40*0.3,0),0.05)</f>
        <v>3.75</v>
      </c>
      <c r="J40" s="23">
        <f aca="true" t="shared" si="4" ref="J40:J46">+CEILING(IF($J$38&lt;=G40,F40*0.3,0),0.05)</f>
        <v>3.75</v>
      </c>
      <c r="K40" s="23">
        <f aca="true" t="shared" si="5" ref="K40:K46">+CEILING(IF($K$38&lt;=G40,F40*0.3,0),0.05)</f>
        <v>3.75</v>
      </c>
      <c r="L40" s="23">
        <f aca="true" t="shared" si="6" ref="L40:L46">+CEILING(IF($L$38&lt;=G40,F40*0.3,0),0.05)</f>
        <v>3.75</v>
      </c>
      <c r="M40" s="23">
        <f aca="true" t="shared" si="7" ref="M40:M46">+CEILING(IF($M$38&lt;=G40,F40*0.3,0),0.05)</f>
        <v>3.75</v>
      </c>
    </row>
    <row r="41" spans="1:13" ht="12.75">
      <c r="A41" s="15">
        <v>2</v>
      </c>
      <c r="B41" s="54" t="s">
        <v>575</v>
      </c>
      <c r="C41" s="56" t="s">
        <v>19</v>
      </c>
      <c r="D41" s="56" t="s">
        <v>39</v>
      </c>
      <c r="E41" s="57" t="s">
        <v>676</v>
      </c>
      <c r="F41" s="21">
        <v>4</v>
      </c>
      <c r="G41" s="8">
        <v>2019</v>
      </c>
      <c r="I41" s="23">
        <f t="shared" si="3"/>
        <v>1.2000000000000002</v>
      </c>
      <c r="J41" s="23">
        <f t="shared" si="4"/>
        <v>1.2000000000000002</v>
      </c>
      <c r="K41" s="23">
        <f t="shared" si="5"/>
        <v>1.2000000000000002</v>
      </c>
      <c r="L41" s="23">
        <f t="shared" si="6"/>
        <v>1.2000000000000002</v>
      </c>
      <c r="M41" s="23">
        <f t="shared" si="7"/>
        <v>1.2000000000000002</v>
      </c>
    </row>
    <row r="42" spans="1:13" ht="12.75">
      <c r="A42" s="15">
        <v>3</v>
      </c>
      <c r="B42" s="10" t="s">
        <v>429</v>
      </c>
      <c r="C42" s="11" t="s">
        <v>17</v>
      </c>
      <c r="D42" s="11" t="s">
        <v>43</v>
      </c>
      <c r="E42" s="20" t="s">
        <v>435</v>
      </c>
      <c r="F42" s="21">
        <v>4.05</v>
      </c>
      <c r="G42" s="8">
        <v>2018</v>
      </c>
      <c r="I42" s="23">
        <f t="shared" si="3"/>
        <v>1.25</v>
      </c>
      <c r="J42" s="23">
        <f t="shared" si="4"/>
        <v>1.25</v>
      </c>
      <c r="K42" s="23">
        <f t="shared" si="5"/>
        <v>1.25</v>
      </c>
      <c r="L42" s="23">
        <f t="shared" si="6"/>
        <v>1.25</v>
      </c>
      <c r="M42" s="23">
        <f t="shared" si="7"/>
        <v>0</v>
      </c>
    </row>
    <row r="43" spans="1:13" ht="12.75">
      <c r="A43" s="15">
        <v>4</v>
      </c>
      <c r="B43" s="10" t="s">
        <v>246</v>
      </c>
      <c r="C43" s="11" t="s">
        <v>19</v>
      </c>
      <c r="D43" s="11" t="s">
        <v>45</v>
      </c>
      <c r="E43" s="20" t="s">
        <v>432</v>
      </c>
      <c r="F43" s="21">
        <v>6.75</v>
      </c>
      <c r="G43" s="8">
        <v>2017</v>
      </c>
      <c r="I43" s="23">
        <f t="shared" si="3"/>
        <v>2.0500000000000003</v>
      </c>
      <c r="J43" s="23">
        <f t="shared" si="4"/>
        <v>2.0500000000000003</v>
      </c>
      <c r="K43" s="23">
        <f t="shared" si="5"/>
        <v>2.0500000000000003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D44" s="56"/>
      <c r="E44" s="20"/>
      <c r="F44" s="21"/>
      <c r="G44" s="8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22"/>
      <c r="C45" s="32"/>
      <c r="D45" s="32"/>
      <c r="E45" s="20"/>
      <c r="F45" s="33"/>
      <c r="G45" s="34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76</v>
      </c>
      <c r="C46" s="31"/>
      <c r="D46" s="31"/>
      <c r="E46" s="31"/>
      <c r="F46" s="16"/>
      <c r="G46" s="17"/>
      <c r="I46" s="23">
        <f t="shared" si="3"/>
        <v>0</v>
      </c>
      <c r="J46" s="23">
        <f t="shared" si="4"/>
        <v>0</v>
      </c>
      <c r="K46" s="23">
        <f t="shared" si="5"/>
        <v>0</v>
      </c>
      <c r="L46" s="23">
        <f t="shared" si="6"/>
        <v>0</v>
      </c>
      <c r="M46" s="23">
        <f t="shared" si="7"/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8.25</v>
      </c>
      <c r="J48" s="19">
        <f>+SUM(J40:J47)</f>
        <v>8.25</v>
      </c>
      <c r="K48" s="19">
        <f>+SUM(K40:K47)</f>
        <v>8.25</v>
      </c>
      <c r="L48" s="19">
        <f>+SUM(L40:L47)</f>
        <v>6.2</v>
      </c>
      <c r="M48" s="19">
        <f>+SUM(M40:M47)</f>
        <v>4.95</v>
      </c>
    </row>
    <row r="49" spans="1:13" ht="12.75">
      <c r="A49" s="15"/>
      <c r="I49" s="19"/>
      <c r="J49" s="19"/>
      <c r="K49" s="19"/>
      <c r="L49" s="19"/>
      <c r="M49" s="19"/>
    </row>
    <row r="50" spans="1:13" ht="15.75">
      <c r="A50" s="140" t="s">
        <v>49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2015</v>
      </c>
      <c r="J52" s="14">
        <f>+J$3</f>
        <v>2016</v>
      </c>
      <c r="K52" s="14">
        <f>+K$3</f>
        <v>2017</v>
      </c>
      <c r="L52" s="14">
        <f>+L$3</f>
        <v>2018</v>
      </c>
      <c r="M52" s="14">
        <f>+M$3</f>
        <v>2019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54" t="s">
        <v>399</v>
      </c>
      <c r="C54" s="11" t="s">
        <v>17</v>
      </c>
      <c r="D54" s="56" t="s">
        <v>45</v>
      </c>
      <c r="E54" s="20">
        <v>2014</v>
      </c>
      <c r="F54" s="21">
        <v>8.2</v>
      </c>
      <c r="G54" s="9">
        <v>2018</v>
      </c>
      <c r="I54" s="23">
        <f>+CEILING(IF($I$52=E54,F54,IF($I$52&lt;=G54,F54*0.3,0)),0.05)</f>
        <v>2.5</v>
      </c>
      <c r="J54" s="23">
        <f>+CEILING(IF($J$52&lt;=G54,F54*0.3,0),0.05)</f>
        <v>2.5</v>
      </c>
      <c r="K54" s="23">
        <f>+CEILING(IF($K$52&lt;=G54,F54*0.3,0),0.05)</f>
        <v>2.5</v>
      </c>
      <c r="L54" s="23">
        <f>+CEILING(IF($L$52&lt;=G54,F54*0.3,0),0.05)</f>
        <v>2.5</v>
      </c>
      <c r="M54" s="23">
        <f>CEILING(IF($M$52&lt;=G54,F54*0.3,0),0.05)</f>
        <v>0</v>
      </c>
    </row>
    <row r="55" spans="1:13" ht="12.75">
      <c r="A55" s="15">
        <v>2</v>
      </c>
      <c r="B55" s="44" t="s">
        <v>212</v>
      </c>
      <c r="C55" s="11" t="s">
        <v>26</v>
      </c>
      <c r="D55" s="11" t="s">
        <v>45</v>
      </c>
      <c r="E55" s="20">
        <v>2014</v>
      </c>
      <c r="F55" s="21">
        <v>5.3</v>
      </c>
      <c r="G55" s="8">
        <v>2016</v>
      </c>
      <c r="I55" s="23">
        <f>+CEILING(IF($I$52=E55,F55,IF($I$52&lt;=G55,F55*0.3,0)),0.05)</f>
        <v>1.6</v>
      </c>
      <c r="J55" s="23">
        <f>+CEILING(IF($J$52&lt;=G55,F55*0.3,0),0.05)</f>
        <v>1.6</v>
      </c>
      <c r="K55" s="23">
        <f>+CEILING(IF($K$52&lt;=G55,F55*0.3,0),0.05)</f>
        <v>0</v>
      </c>
      <c r="L55" s="23">
        <f>+CEILING(IF($L$52&lt;=G55,F55*0.3,0),0.05)</f>
        <v>0</v>
      </c>
      <c r="M55" s="23">
        <f>CEILING(IF($M$52&lt;=G55,F55*0.3,0),0.05)</f>
        <v>0</v>
      </c>
    </row>
    <row r="56" spans="1:13" ht="12.75">
      <c r="A56" s="15">
        <v>3</v>
      </c>
      <c r="B56" s="59" t="s">
        <v>199</v>
      </c>
      <c r="C56" s="11" t="s">
        <v>17</v>
      </c>
      <c r="D56" s="11" t="s">
        <v>33</v>
      </c>
      <c r="E56" s="20">
        <v>2014</v>
      </c>
      <c r="F56" s="25">
        <v>2</v>
      </c>
      <c r="G56" s="11">
        <v>2016</v>
      </c>
      <c r="I56" s="23">
        <f>+CEILING(IF($I$52=E56,F56,IF($I$52&lt;=G56,F56*0.3,0)),0.05)</f>
        <v>0.6000000000000001</v>
      </c>
      <c r="J56" s="23">
        <f>+CEILING(IF($J$52&lt;=G56,F56*0.3,0),0.05)</f>
        <v>0.6000000000000001</v>
      </c>
      <c r="K56" s="23">
        <f>+CEILING(IF($K$52&lt;=G56,F56*0.3,0),0.05)</f>
        <v>0</v>
      </c>
      <c r="L56" s="23">
        <f>+CEILING(IF($L$52&lt;=G56,F56*0.3,0),0.05)</f>
        <v>0</v>
      </c>
      <c r="M56" s="23">
        <f>CEILING(IF($M$52&lt;=G56,F56*0.3,0),0.05)</f>
        <v>0</v>
      </c>
    </row>
    <row r="57" spans="1:13" ht="12.75">
      <c r="A57" s="15">
        <v>4</v>
      </c>
      <c r="B57" s="59" t="s">
        <v>285</v>
      </c>
      <c r="C57" s="11" t="s">
        <v>19</v>
      </c>
      <c r="D57" s="56" t="s">
        <v>27</v>
      </c>
      <c r="E57" s="20">
        <v>2014</v>
      </c>
      <c r="F57" s="21">
        <v>11.5</v>
      </c>
      <c r="G57" s="8">
        <v>2015</v>
      </c>
      <c r="I57" s="23">
        <f>+CEILING(IF($I$52=E57,F57,IF($I$52&lt;=G57,F57*0.3,0)),0.05)</f>
        <v>3.45</v>
      </c>
      <c r="J57" s="23">
        <f>+CEILING(IF($J$52&lt;=G57,F57*0.3,0),0.05)</f>
        <v>0</v>
      </c>
      <c r="K57" s="23">
        <f>+CEILING(IF($K$52&lt;=G57,F57*0.3,0),0.05)</f>
        <v>0</v>
      </c>
      <c r="L57" s="23">
        <f>+CEILING(IF($L$52&lt;=G57,F57*0.3,0),0.05)</f>
        <v>0</v>
      </c>
      <c r="M57" s="23">
        <f>CEILING(IF($M$52&lt;=G57,F57*0.3,0),0.05)</f>
        <v>0</v>
      </c>
    </row>
    <row r="58" spans="1:13" ht="12.75">
      <c r="A58" s="15">
        <v>5</v>
      </c>
      <c r="B58" s="49" t="s">
        <v>245</v>
      </c>
      <c r="C58" s="11" t="s">
        <v>37</v>
      </c>
      <c r="D58" s="11" t="s">
        <v>20</v>
      </c>
      <c r="E58" s="20">
        <v>2014</v>
      </c>
      <c r="F58" s="21">
        <v>7.25</v>
      </c>
      <c r="G58" s="8">
        <v>2015</v>
      </c>
      <c r="I58" s="23">
        <f>+CEILING(IF($I$52=E58,F58,IF($I$52&lt;=G58,F58*0.3,0)),0.05)</f>
        <v>2.2</v>
      </c>
      <c r="J58" s="23">
        <f>+CEILING(IF($J$52&lt;=G58,F58*0.3,0),0.05)</f>
        <v>0</v>
      </c>
      <c r="K58" s="23">
        <f>+CEILING(IF($K$52&lt;=G58,F58*0.3,0),0.05)</f>
        <v>0</v>
      </c>
      <c r="L58" s="23">
        <f>+CEILING(IF($L$52&lt;=G58,F58*0.3,0),0.05)</f>
        <v>0</v>
      </c>
      <c r="M58" s="23">
        <f>CEILING(IF($M$52&lt;=G58,F58*0.3,0),0.05)</f>
        <v>0</v>
      </c>
    </row>
    <row r="59" spans="1:13" ht="12.75">
      <c r="A59" s="15">
        <v>6</v>
      </c>
      <c r="B59" s="54" t="s">
        <v>335</v>
      </c>
      <c r="C59" s="11" t="s">
        <v>17</v>
      </c>
      <c r="D59" s="11" t="s">
        <v>16</v>
      </c>
      <c r="E59" s="20">
        <v>2013</v>
      </c>
      <c r="F59" s="21">
        <v>7.15</v>
      </c>
      <c r="G59" s="8">
        <v>2015</v>
      </c>
      <c r="I59" s="23">
        <f aca="true" t="shared" si="8" ref="I59:I68">+CEILING(IF($I$52=E59,F59,IF($I$52&lt;=G59,F59*0.3,0)),0.05)</f>
        <v>2.15</v>
      </c>
      <c r="J59" s="23">
        <f aca="true" t="shared" si="9" ref="J59:J68">+CEILING(IF($J$52&lt;=G59,F59*0.3,0),0.05)</f>
        <v>0</v>
      </c>
      <c r="K59" s="23">
        <f aca="true" t="shared" si="10" ref="K59:K68">+CEILING(IF($K$52&lt;=G59,F59*0.3,0),0.05)</f>
        <v>0</v>
      </c>
      <c r="L59" s="23">
        <f aca="true" t="shared" si="11" ref="L59:L68">+CEILING(IF($L$52&lt;=G59,F59*0.3,0),0.05)</f>
        <v>0</v>
      </c>
      <c r="M59" s="23">
        <f aca="true" t="shared" si="12" ref="M59:M68">CEILING(IF($M$52&lt;=G59,F59*0.3,0),0.05)</f>
        <v>0</v>
      </c>
    </row>
    <row r="60" spans="1:13" ht="12.75">
      <c r="A60" s="15">
        <v>7</v>
      </c>
      <c r="B60" s="49" t="s">
        <v>428</v>
      </c>
      <c r="C60" s="11" t="s">
        <v>37</v>
      </c>
      <c r="D60" s="11" t="s">
        <v>23</v>
      </c>
      <c r="E60" s="20">
        <v>2014</v>
      </c>
      <c r="F60" s="21">
        <v>1.55</v>
      </c>
      <c r="G60" s="8">
        <v>2015</v>
      </c>
      <c r="I60" s="23">
        <f t="shared" si="8"/>
        <v>0.5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10" t="s">
        <v>486</v>
      </c>
      <c r="C61" s="11" t="s">
        <v>37</v>
      </c>
      <c r="D61" s="11" t="s">
        <v>27</v>
      </c>
      <c r="E61" s="20">
        <v>2015</v>
      </c>
      <c r="F61" s="21">
        <v>10.25</v>
      </c>
      <c r="G61" s="8">
        <v>2015</v>
      </c>
      <c r="I61" s="23">
        <f t="shared" si="8"/>
        <v>10.25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49" t="s">
        <v>597</v>
      </c>
      <c r="C62" s="11" t="s">
        <v>37</v>
      </c>
      <c r="D62" s="11" t="s">
        <v>28</v>
      </c>
      <c r="E62" s="20">
        <v>2015</v>
      </c>
      <c r="F62" s="21">
        <v>1.7</v>
      </c>
      <c r="G62" s="8">
        <v>2015</v>
      </c>
      <c r="I62" s="23">
        <f t="shared" si="8"/>
        <v>1.7000000000000002</v>
      </c>
      <c r="J62" s="23">
        <f t="shared" si="9"/>
        <v>0</v>
      </c>
      <c r="K62" s="23">
        <f t="shared" si="10"/>
        <v>0</v>
      </c>
      <c r="L62" s="23">
        <f t="shared" si="11"/>
        <v>0</v>
      </c>
      <c r="M62" s="23">
        <f t="shared" si="12"/>
        <v>0</v>
      </c>
    </row>
    <row r="63" spans="1:13" ht="12.75">
      <c r="A63" s="15">
        <v>10</v>
      </c>
      <c r="D63" s="11"/>
      <c r="E63" s="20"/>
      <c r="F63" s="21"/>
      <c r="G63" s="9"/>
      <c r="I63" s="23">
        <f t="shared" si="8"/>
        <v>0</v>
      </c>
      <c r="J63" s="23">
        <f t="shared" si="9"/>
        <v>0</v>
      </c>
      <c r="K63" s="23">
        <f t="shared" si="10"/>
        <v>0</v>
      </c>
      <c r="L63" s="23">
        <f t="shared" si="11"/>
        <v>0</v>
      </c>
      <c r="M63" s="23">
        <f t="shared" si="12"/>
        <v>0</v>
      </c>
    </row>
    <row r="64" spans="1:13" ht="12.75">
      <c r="A64" s="15">
        <v>11</v>
      </c>
      <c r="B64" s="44"/>
      <c r="D64" s="11"/>
      <c r="E64" s="20"/>
      <c r="F64" s="21"/>
      <c r="G64" s="8"/>
      <c r="I64" s="23">
        <f t="shared" si="8"/>
        <v>0</v>
      </c>
      <c r="J64" s="23">
        <f t="shared" si="9"/>
        <v>0</v>
      </c>
      <c r="K64" s="23">
        <f t="shared" si="10"/>
        <v>0</v>
      </c>
      <c r="L64" s="23">
        <f t="shared" si="11"/>
        <v>0</v>
      </c>
      <c r="M64" s="23">
        <f t="shared" si="12"/>
        <v>0</v>
      </c>
    </row>
    <row r="65" spans="1:13" ht="12.75">
      <c r="A65" s="15">
        <v>12</v>
      </c>
      <c r="B65" s="44"/>
      <c r="D65" s="11"/>
      <c r="E65" s="20"/>
      <c r="F65" s="21"/>
      <c r="G65" s="8"/>
      <c r="I65" s="23">
        <f t="shared" si="8"/>
        <v>0</v>
      </c>
      <c r="J65" s="23">
        <f t="shared" si="9"/>
        <v>0</v>
      </c>
      <c r="K65" s="23">
        <f t="shared" si="10"/>
        <v>0</v>
      </c>
      <c r="L65" s="23">
        <f t="shared" si="11"/>
        <v>0</v>
      </c>
      <c r="M65" s="23">
        <f t="shared" si="12"/>
        <v>0</v>
      </c>
    </row>
    <row r="66" spans="1:13" ht="12.75">
      <c r="A66" s="15">
        <v>13</v>
      </c>
      <c r="B66" s="50"/>
      <c r="D66" s="11"/>
      <c r="E66" s="20"/>
      <c r="F66" s="21"/>
      <c r="G66" s="8"/>
      <c r="I66" s="23">
        <f t="shared" si="8"/>
        <v>0</v>
      </c>
      <c r="J66" s="23">
        <f t="shared" si="9"/>
        <v>0</v>
      </c>
      <c r="K66" s="23">
        <f t="shared" si="10"/>
        <v>0</v>
      </c>
      <c r="L66" s="23">
        <f t="shared" si="11"/>
        <v>0</v>
      </c>
      <c r="M66" s="23">
        <f t="shared" si="12"/>
        <v>0</v>
      </c>
    </row>
    <row r="67" spans="1:13" ht="12.75">
      <c r="A67" s="15">
        <v>14</v>
      </c>
      <c r="B67" s="42"/>
      <c r="D67" s="11"/>
      <c r="E67" s="20"/>
      <c r="F67" s="21"/>
      <c r="G67" s="8"/>
      <c r="I67" s="23">
        <f t="shared" si="8"/>
        <v>0</v>
      </c>
      <c r="J67" s="23">
        <f t="shared" si="9"/>
        <v>0</v>
      </c>
      <c r="K67" s="23">
        <f t="shared" si="10"/>
        <v>0</v>
      </c>
      <c r="L67" s="23">
        <f t="shared" si="11"/>
        <v>0</v>
      </c>
      <c r="M67" s="23">
        <f t="shared" si="12"/>
        <v>0</v>
      </c>
    </row>
    <row r="68" spans="1:13" ht="12.75">
      <c r="A68" s="15">
        <v>15</v>
      </c>
      <c r="B68" s="44"/>
      <c r="D68" s="11"/>
      <c r="E68" s="20"/>
      <c r="F68" s="21"/>
      <c r="G68" s="9"/>
      <c r="I68" s="23">
        <f t="shared" si="8"/>
        <v>0</v>
      </c>
      <c r="J68" s="23">
        <f t="shared" si="9"/>
        <v>0</v>
      </c>
      <c r="K68" s="23">
        <f t="shared" si="10"/>
        <v>0</v>
      </c>
      <c r="L68" s="23">
        <f t="shared" si="11"/>
        <v>0</v>
      </c>
      <c r="M68" s="23">
        <f t="shared" si="12"/>
        <v>0</v>
      </c>
    </row>
    <row r="69" spans="9:13" ht="7.5" customHeight="1">
      <c r="I69" s="22"/>
      <c r="J69" s="22"/>
      <c r="K69" s="22"/>
      <c r="L69" s="22"/>
      <c r="M69" s="22"/>
    </row>
    <row r="70" spans="9:13" ht="12.75">
      <c r="I70" s="24">
        <f>+SUM(I54:I69)</f>
        <v>24.95</v>
      </c>
      <c r="J70" s="24">
        <f>+SUM(J54:J69)</f>
        <v>4.699999999999999</v>
      </c>
      <c r="K70" s="24">
        <f>+SUM(K54:K69)</f>
        <v>2.5</v>
      </c>
      <c r="L70" s="24">
        <f>+SUM(L54:L69)</f>
        <v>2.5</v>
      </c>
      <c r="M70" s="24">
        <f>+SUM(M54:M69)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9.421875" style="74" customWidth="1"/>
    <col min="2" max="2" width="2.7109375" style="74" customWidth="1"/>
    <col min="3" max="3" width="4.7109375" style="74" customWidth="1"/>
    <col min="4" max="4" width="6.7109375" style="74" customWidth="1"/>
    <col min="5" max="5" width="0.85546875" style="74" customWidth="1"/>
    <col min="6" max="6" width="4.7109375" style="74" customWidth="1"/>
    <col min="7" max="7" width="7.57421875" style="74" customWidth="1"/>
    <col min="8" max="8" width="0.85546875" style="74" customWidth="1"/>
    <col min="9" max="9" width="4.7109375" style="74" customWidth="1"/>
    <col min="10" max="10" width="7.28125" style="74" customWidth="1"/>
    <col min="11" max="11" width="0.85546875" style="74" customWidth="1"/>
    <col min="12" max="12" width="4.7109375" style="74" customWidth="1"/>
    <col min="13" max="13" width="7.57421875" style="74" customWidth="1"/>
    <col min="14" max="14" width="0.85546875" style="74" customWidth="1"/>
    <col min="15" max="15" width="4.7109375" style="74" customWidth="1"/>
    <col min="16" max="16" width="6.7109375" style="74" customWidth="1"/>
    <col min="17" max="17" width="0.85546875" style="74" customWidth="1"/>
    <col min="18" max="18" width="4.7109375" style="74" customWidth="1"/>
    <col min="19" max="19" width="6.7109375" style="74" customWidth="1"/>
    <col min="20" max="20" width="0.85546875" style="74" customWidth="1"/>
    <col min="21" max="21" width="4.7109375" style="74" customWidth="1"/>
    <col min="22" max="22" width="6.7109375" style="74" customWidth="1"/>
    <col min="23" max="23" width="0.85546875" style="74" customWidth="1"/>
    <col min="24" max="24" width="4.7109375" style="74" customWidth="1"/>
    <col min="25" max="25" width="6.7109375" style="74" customWidth="1"/>
    <col min="26" max="26" width="0.9921875" style="74" customWidth="1"/>
    <col min="27" max="27" width="7.7109375" style="74" customWidth="1"/>
    <col min="28" max="16384" width="9.140625" style="74" customWidth="1"/>
  </cols>
  <sheetData>
    <row r="1" spans="1:27" ht="18.75">
      <c r="A1" s="107" t="s">
        <v>497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8"/>
    </row>
    <row r="2" spans="3:27" s="109" customFormat="1" ht="7.5" customHeight="1"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1"/>
      <c r="S2" s="112"/>
      <c r="T2" s="112"/>
      <c r="U2" s="112"/>
      <c r="V2" s="111"/>
      <c r="W2" s="111"/>
      <c r="X2" s="110"/>
      <c r="Y2" s="110"/>
      <c r="Z2" s="111"/>
      <c r="AA2" s="111"/>
    </row>
    <row r="3" spans="1:27" s="64" customFormat="1" ht="15">
      <c r="A3" s="113" t="s">
        <v>4</v>
      </c>
      <c r="C3" s="134" t="s">
        <v>17</v>
      </c>
      <c r="D3" s="134"/>
      <c r="E3" s="75"/>
      <c r="F3" s="134" t="s">
        <v>37</v>
      </c>
      <c r="G3" s="134"/>
      <c r="H3" s="75"/>
      <c r="I3" s="134" t="s">
        <v>31</v>
      </c>
      <c r="J3" s="134"/>
      <c r="K3" s="75"/>
      <c r="L3" s="134" t="s">
        <v>18</v>
      </c>
      <c r="M3" s="134"/>
      <c r="N3" s="75"/>
      <c r="O3" s="134" t="s">
        <v>40</v>
      </c>
      <c r="P3" s="134"/>
      <c r="Q3" s="75"/>
      <c r="R3" s="134" t="s">
        <v>26</v>
      </c>
      <c r="S3" s="134"/>
      <c r="T3" s="75"/>
      <c r="U3" s="134" t="s">
        <v>15</v>
      </c>
      <c r="V3" s="134"/>
      <c r="W3" s="75"/>
      <c r="X3" s="134" t="s">
        <v>19</v>
      </c>
      <c r="Y3" s="134"/>
      <c r="Z3" s="114"/>
      <c r="AA3" s="75" t="s">
        <v>3</v>
      </c>
    </row>
    <row r="4" s="109" customFormat="1" ht="7.5" customHeight="1"/>
    <row r="5" spans="1:27" s="64" customFormat="1" ht="15" customHeight="1">
      <c r="A5" s="63" t="s">
        <v>74</v>
      </c>
      <c r="C5" s="80">
        <f>COUNTIF(Adkisson!$C$5:$C$32,"SP")</f>
        <v>9</v>
      </c>
      <c r="D5" s="82">
        <f>SUMIF(Adkisson!$C$5:$F$32,"SP",Adkisson!$F$5:$F$32)</f>
        <v>72.4</v>
      </c>
      <c r="E5" s="66"/>
      <c r="F5" s="80">
        <f>COUNTIF(Adkisson!$C$5:$C$32,"RP")</f>
        <v>5</v>
      </c>
      <c r="G5" s="82">
        <f>SUMIF(Adkisson!$C$5:$F$32,"rP",Adkisson!$F$5:$F$32)</f>
        <v>25.55</v>
      </c>
      <c r="H5" s="66"/>
      <c r="I5" s="80">
        <f>COUNTIF(Adkisson!$C$5:$C$32,"C")</f>
        <v>2</v>
      </c>
      <c r="J5" s="82">
        <f>SUMIF(Adkisson!$C$5:$F$32,"C",Adkisson!$F$5:$F$32)</f>
        <v>12.649999999999999</v>
      </c>
      <c r="K5" s="66"/>
      <c r="L5" s="80">
        <f>COUNTIF(Adkisson!$C$5:$C$32,"1B")</f>
        <v>2</v>
      </c>
      <c r="M5" s="82">
        <f>SUMIF(Adkisson!$C$5:$F$32,"1B",Adkisson!$F$5:$F$32)</f>
        <v>7.95</v>
      </c>
      <c r="N5" s="66"/>
      <c r="O5" s="80">
        <f>COUNTIF(Adkisson!$C$5:$C$32,"2B")</f>
        <v>3</v>
      </c>
      <c r="P5" s="82">
        <f>SUMIF(Adkisson!$C$5:$F$32,"2B",Adkisson!$F$5:$F$32)</f>
        <v>7.550000000000001</v>
      </c>
      <c r="Q5" s="66"/>
      <c r="R5" s="80">
        <f>COUNTIF(Adkisson!$C$5:$C$32,"SS")</f>
        <v>2</v>
      </c>
      <c r="S5" s="82">
        <f>SUMIF(Adkisson!$C$5:$F$32,"SS",Adkisson!$F$5:$F$32)</f>
        <v>4.65</v>
      </c>
      <c r="T5" s="66"/>
      <c r="U5" s="80">
        <f>COUNTIF(Adkisson!$C$5:$C$32,"3B")</f>
        <v>1</v>
      </c>
      <c r="V5" s="82">
        <f>SUMIF(Adkisson!$C$5:$F$32,"3B",Adkisson!$F$5:$F$32)</f>
        <v>8</v>
      </c>
      <c r="X5" s="80">
        <f>COUNTIF(Adkisson!$C$5:$C$32,"OF")</f>
        <v>4</v>
      </c>
      <c r="Y5" s="82">
        <f>SUMIF(Adkisson!$C$5:$F$32,"OF",Adkisson!$F$5:$F$32)</f>
        <v>14.299999999999999</v>
      </c>
      <c r="AA5" s="82">
        <f aca="true" t="shared" si="0" ref="AA5:AA20">D5+G5+J5+P5+S5+V5+Y5+M5</f>
        <v>153.05</v>
      </c>
    </row>
    <row r="6" spans="1:27" s="64" customFormat="1" ht="15" customHeight="1">
      <c r="A6" s="63" t="s">
        <v>7</v>
      </c>
      <c r="C6" s="80">
        <f>COUNTIF(Barton!$C$5:$C$32,"SP")</f>
        <v>7</v>
      </c>
      <c r="D6" s="82">
        <f>SUMIF(Barton!$C$5:$F$32,"SP",Barton!$F$5:$F$32)</f>
        <v>50.05000000000001</v>
      </c>
      <c r="E6" s="66"/>
      <c r="F6" s="80">
        <f>COUNTIF(Barton!$C$5:$C$32,"rP")</f>
        <v>8</v>
      </c>
      <c r="G6" s="82">
        <f>SUMIF(Barton!$C$5:$F$32,"rP",Barton!$F$5:$F$32)</f>
        <v>26</v>
      </c>
      <c r="H6" s="66"/>
      <c r="I6" s="80">
        <f>COUNTIF(Barton!$C$5:$C$32,"C")</f>
        <v>2</v>
      </c>
      <c r="J6" s="82">
        <f>SUMIF(Barton!$C$5:$F$32,"C",Barton!$F$5:$F$32)</f>
        <v>7.949999999999999</v>
      </c>
      <c r="K6" s="66"/>
      <c r="L6" s="80">
        <f>COUNTIF(Barton!$C$5:$C$32,"1B")</f>
        <v>1</v>
      </c>
      <c r="M6" s="82">
        <f>SUMIF(Barton!$C$5:$F$32,"1B",Barton!$F$5:$F$32)</f>
        <v>10.25</v>
      </c>
      <c r="N6" s="66"/>
      <c r="O6" s="80">
        <f>COUNTIF(Barton!$C$5:$C$32,"2B")</f>
        <v>2</v>
      </c>
      <c r="P6" s="82">
        <f>SUMIF(Barton!$C$5:$F$32,"2B",Barton!$F$5:$F$32)</f>
        <v>15.200000000000001</v>
      </c>
      <c r="Q6" s="66"/>
      <c r="R6" s="80">
        <f>COUNTIF(Barton!$C$5:$C$32,"SS")</f>
        <v>2</v>
      </c>
      <c r="S6" s="82">
        <f>SUMIF(Barton!$C$5:$F$32,"SS",Barton!$F$5:$F$32)</f>
        <v>13.95</v>
      </c>
      <c r="T6" s="66"/>
      <c r="U6" s="80">
        <f>COUNTIF(Barton!$C$5:$C$32,"3B")</f>
        <v>1</v>
      </c>
      <c r="V6" s="82">
        <f>SUMIF(Barton!$C$5:$F$32,"3B",Barton!$F$5:$F$32)</f>
        <v>6.55</v>
      </c>
      <c r="X6" s="80">
        <f>COUNTIF(Barton!$C$5:$C$32,"OF")</f>
        <v>5</v>
      </c>
      <c r="Y6" s="82">
        <f>SUMIF(Barton!$C$5:$F$32,"OF",Barton!$F$5:$F$32)</f>
        <v>39.800000000000004</v>
      </c>
      <c r="AA6" s="82">
        <f t="shared" si="0"/>
        <v>169.75000000000003</v>
      </c>
    </row>
    <row r="7" spans="1:27" s="64" customFormat="1" ht="15" customHeight="1">
      <c r="A7" s="63" t="s">
        <v>86</v>
      </c>
      <c r="C7" s="80">
        <f>COUNTIF(Biegler!$C$5:$C$32,"SP")</f>
        <v>8</v>
      </c>
      <c r="D7" s="82">
        <f>SUMIF(Biegler!$C$5:$F$32,"SP",Biegler!$F$5:$F$32)</f>
        <v>67.60000000000001</v>
      </c>
      <c r="E7" s="66"/>
      <c r="F7" s="80">
        <f>COUNTIF(Biegler!$C$5:$C$32,"rP")</f>
        <v>6</v>
      </c>
      <c r="G7" s="82">
        <f>SUMIF(Biegler!$C$5:$F$32,"rP",Biegler!$F$5:$F$32)</f>
        <v>20.15</v>
      </c>
      <c r="H7" s="66"/>
      <c r="I7" s="80">
        <f>COUNTIF(Biegler!$C$5:$C$32,"C")</f>
        <v>2</v>
      </c>
      <c r="J7" s="82">
        <f>SUMIF(Biegler!$C$5:$F$32,"C",Biegler!$F$5:$F$32)</f>
        <v>7.55</v>
      </c>
      <c r="K7" s="66"/>
      <c r="L7" s="80">
        <f>COUNTIF(Biegler!$C$5:$C$32,"1B")</f>
        <v>2</v>
      </c>
      <c r="M7" s="82">
        <f>SUMIF(Biegler!$C$5:$F$32,"1B",Biegler!$F$5:$F$32)</f>
        <v>5.2</v>
      </c>
      <c r="N7" s="66"/>
      <c r="O7" s="80">
        <f>COUNTIF(Biegler!$C$5:$C$32,"2B")</f>
        <v>1</v>
      </c>
      <c r="P7" s="82">
        <f>SUMIF(Biegler!$C$5:$F$32,"2B",Biegler!$F$5:$F$32)</f>
        <v>4.75</v>
      </c>
      <c r="Q7" s="66"/>
      <c r="R7" s="80">
        <f>COUNTIF(Biegler!$C$5:$C$32,"SS")</f>
        <v>2</v>
      </c>
      <c r="S7" s="82">
        <f>SUMIF(Biegler!$C$5:$F$32,"SS",Biegler!$F$5:$F$32)</f>
        <v>6.45</v>
      </c>
      <c r="T7" s="66"/>
      <c r="U7" s="80">
        <f>COUNTIF(Biegler!$C$5:$C$32,"3B")</f>
        <v>2</v>
      </c>
      <c r="V7" s="82">
        <f>SUMIF(Biegler!$C$5:$F$32,"3B",Biegler!$F$5:$F$32)</f>
        <v>3.4</v>
      </c>
      <c r="X7" s="80">
        <f>COUNTIF(Biegler!$C$5:$C$32,"OF")</f>
        <v>5</v>
      </c>
      <c r="Y7" s="82">
        <f>SUMIF(Biegler!$C$5:$F$32,"OF",Biegler!$F$5:$F$32)</f>
        <v>21.45</v>
      </c>
      <c r="AA7" s="82">
        <f t="shared" si="0"/>
        <v>136.54999999999998</v>
      </c>
    </row>
    <row r="8" spans="1:27" s="64" customFormat="1" ht="15" customHeight="1">
      <c r="A8" s="63" t="s">
        <v>8</v>
      </c>
      <c r="B8" s="63"/>
      <c r="C8" s="80">
        <f>COUNTIF(Cadmus!$C$5:$C$32,"SP")</f>
        <v>10</v>
      </c>
      <c r="D8" s="82">
        <f>SUMIF(Cadmus!$C$5:$F$32,"SP",Cadmus!$F$5:$F$32)</f>
        <v>64.9</v>
      </c>
      <c r="E8" s="66"/>
      <c r="F8" s="80">
        <f>COUNTIF(Cadmus!$C$5:$C$32,"rP")</f>
        <v>6</v>
      </c>
      <c r="G8" s="82">
        <f>SUMIF(Cadmus!$C$5:$F$32,"rP",Cadmus!$F$5:$F$32)</f>
        <v>10.2</v>
      </c>
      <c r="H8" s="66"/>
      <c r="I8" s="80">
        <f>COUNTIF(Cadmus!$C$5:$C$32,"C")</f>
        <v>1</v>
      </c>
      <c r="J8" s="82">
        <f>SUMIF(Cadmus!$C$5:$F$32,"C",Cadmus!$F$5:$F$32)</f>
        <v>1.7</v>
      </c>
      <c r="K8" s="66"/>
      <c r="L8" s="80">
        <f>COUNTIF(Cadmus!$C$5:$C$32,"1B")</f>
        <v>1</v>
      </c>
      <c r="M8" s="82">
        <f>SUMIF(Cadmus!$C$5:$F$32,"1B",Cadmus!$F$5:$F$32)</f>
        <v>13.15</v>
      </c>
      <c r="N8" s="66"/>
      <c r="O8" s="80">
        <f>COUNTIF(Cadmus!$C$5:$C$32,"2B")</f>
        <v>3</v>
      </c>
      <c r="P8" s="82">
        <f>SUMIF(Cadmus!$C$5:$F$32,"2B",Cadmus!$F$5:$F$32)</f>
        <v>19</v>
      </c>
      <c r="Q8" s="66"/>
      <c r="R8" s="80">
        <f>COUNTIF(Cadmus!$C$5:$C$32,"SS")</f>
        <v>2</v>
      </c>
      <c r="S8" s="82">
        <f>SUMIF(Cadmus!$C$5:$F$32,"SS",Cadmus!$F$5:$F$32)</f>
        <v>17.35</v>
      </c>
      <c r="T8" s="66"/>
      <c r="U8" s="80">
        <f>COUNTIF(Cadmus!$C$5:$C$32,"3B")</f>
        <v>1</v>
      </c>
      <c r="V8" s="82">
        <f>SUMIF(Cadmus!$C$5:$F$32,"3B",Cadmus!$F$5:$F$32)</f>
        <v>6.5</v>
      </c>
      <c r="X8" s="80">
        <f>COUNTIF(Cadmus!$C$5:$C$32,"OF")</f>
        <v>4</v>
      </c>
      <c r="Y8" s="82">
        <f>SUMIF(Cadmus!$C$5:$F$32,"OF",Cadmus!$F$5:$F$32)</f>
        <v>47.05</v>
      </c>
      <c r="AA8" s="82">
        <f t="shared" si="0"/>
        <v>179.85</v>
      </c>
    </row>
    <row r="9" spans="1:27" s="64" customFormat="1" ht="15" customHeight="1">
      <c r="A9" s="63" t="s">
        <v>92</v>
      </c>
      <c r="B9" s="63"/>
      <c r="C9" s="80">
        <f>COUNTIF(Chaplin!$C$5:$C$32,"SP")</f>
        <v>7</v>
      </c>
      <c r="D9" s="82">
        <f>SUMIF(Chaplin!$C$5:$F$32,"SP",Chaplin!$F$5:$F$32)</f>
        <v>55.3</v>
      </c>
      <c r="E9" s="66"/>
      <c r="F9" s="80">
        <f>COUNTIF(Chaplin!$C$5:$C$32,"rP")</f>
        <v>6</v>
      </c>
      <c r="G9" s="82">
        <f>SUMIF(Chaplin!$C$5:$F$32,"rP",Chaplin!$F$5:$F$32)</f>
        <v>24.599999999999998</v>
      </c>
      <c r="H9" s="66"/>
      <c r="I9" s="80">
        <f>COUNTIF(Chaplin!$C$5:$C$32,"C")</f>
        <v>2</v>
      </c>
      <c r="J9" s="82">
        <f>SUMIF(Chaplin!$C$5:$F$32,"C",Chaplin!$F$5:$F$32)</f>
        <v>6.75</v>
      </c>
      <c r="K9" s="66"/>
      <c r="L9" s="80">
        <f>COUNTIF(Chaplin!$C$5:$C$32,"1B")</f>
        <v>2</v>
      </c>
      <c r="M9" s="82">
        <f>SUMIF(Chaplin!$C$5:$F$32,"1B",Chaplin!$F$5:$F$32)</f>
        <v>15.149999999999999</v>
      </c>
      <c r="N9" s="66"/>
      <c r="O9" s="80">
        <f>COUNTIF(Chaplin!$C$5:$C$32,"2B")</f>
        <v>1</v>
      </c>
      <c r="P9" s="82">
        <f>SUMIF(Chaplin!$C$5:$F$32,"2B",Chaplin!$F$5:$F$32)</f>
        <v>1.55</v>
      </c>
      <c r="Q9" s="66"/>
      <c r="R9" s="80">
        <f>COUNTIF(Chaplin!$C$5:$C$32,"SS")</f>
        <v>2</v>
      </c>
      <c r="S9" s="82">
        <f>SUMIF(Chaplin!$C$5:$F$32,"SS",Chaplin!$F$5:$F$32)</f>
        <v>7.95</v>
      </c>
      <c r="T9" s="66"/>
      <c r="U9" s="80">
        <f>COUNTIF(Chaplin!$C$5:$C$32,"3B")</f>
        <v>2</v>
      </c>
      <c r="V9" s="82">
        <f>SUMIF(Chaplin!$C$5:$F$32,"3B",Chaplin!$F$5:$F$32)</f>
        <v>14.15</v>
      </c>
      <c r="X9" s="80">
        <f>COUNTIF(Chaplin!$C$5:$C$32,"OF")</f>
        <v>6</v>
      </c>
      <c r="Y9" s="82">
        <f>SUMIF(Chaplin!$C$5:$F$32,"OF",Chaplin!$F$5:$F$32)</f>
        <v>15.299999999999999</v>
      </c>
      <c r="AA9" s="82">
        <f t="shared" si="0"/>
        <v>140.75</v>
      </c>
    </row>
    <row r="10" spans="1:27" s="64" customFormat="1" ht="15" customHeight="1">
      <c r="A10" s="63" t="s">
        <v>87</v>
      </c>
      <c r="C10" s="80">
        <f>COUNTIF(Chockalingam!$C$5:$C$32,"SP")</f>
        <v>8</v>
      </c>
      <c r="D10" s="82">
        <f>SUMIF(Chockalingam!$C$5:$F$32,"SP",Chockalingam!$F$5:$F$32)</f>
        <v>39.050000000000004</v>
      </c>
      <c r="E10" s="66"/>
      <c r="F10" s="80">
        <f>COUNTIF(Chockalingam!$C$5:$C$32,"rP")</f>
        <v>6</v>
      </c>
      <c r="G10" s="82">
        <f>SUMIF(Chockalingam!$C$5:$F$32,"rP",Chockalingam!$F$5:$F$32)</f>
        <v>41.9</v>
      </c>
      <c r="H10" s="66"/>
      <c r="I10" s="80">
        <f>COUNTIF(Chockalingam!$C$5:$C$32,"C")</f>
        <v>3</v>
      </c>
      <c r="J10" s="82">
        <f>SUMIF(Chockalingam!$C$5:$F$32,"C",Chockalingam!$F$5:$F$32)</f>
        <v>16.55</v>
      </c>
      <c r="K10" s="66"/>
      <c r="L10" s="80">
        <f>COUNTIF(Chockalingam!$C$5:$C$32,"1B")</f>
        <v>1</v>
      </c>
      <c r="M10" s="82">
        <f>SUMIF(Chockalingam!$C$5:$F$32,"1B",Chockalingam!$F$5:$F$32)</f>
        <v>2.8</v>
      </c>
      <c r="N10" s="66"/>
      <c r="O10" s="80">
        <f>COUNTIF(Chockalingam!$C$5:$C$32,"2B")</f>
        <v>2</v>
      </c>
      <c r="P10" s="82">
        <f>SUMIF(Chockalingam!$C$5:$F$32,"2B",Chockalingam!$F$5:$F$32)</f>
        <v>3.1</v>
      </c>
      <c r="Q10" s="66"/>
      <c r="R10" s="80">
        <f>COUNTIF(Chockalingam!$C$5:$C$32,"SS")</f>
        <v>1</v>
      </c>
      <c r="S10" s="82">
        <f>SUMIF(Chockalingam!$C$5:$F$32,"SS",Chockalingam!$F$5:$F$32)</f>
        <v>1.55</v>
      </c>
      <c r="T10" s="66"/>
      <c r="U10" s="80">
        <f>COUNTIF(Chockalingam!$C$5:$C$32,"3B")</f>
        <v>2</v>
      </c>
      <c r="V10" s="82">
        <f>SUMIF(Chockalingam!$C$5:$F$32,"3B",Chockalingam!$F$5:$F$32)</f>
        <v>7.9</v>
      </c>
      <c r="X10" s="80">
        <f>COUNTIF(Chockalingam!$C$5:$C$32,"OF")</f>
        <v>5</v>
      </c>
      <c r="Y10" s="82">
        <f>SUMIF(Chockalingam!$C$5:$F$32,"OF",Chockalingam!$F$5:$F$32)</f>
        <v>15.050000000000002</v>
      </c>
      <c r="AA10" s="82">
        <f t="shared" si="0"/>
        <v>127.89999999999999</v>
      </c>
    </row>
    <row r="11" spans="1:27" s="64" customFormat="1" ht="15" customHeight="1">
      <c r="A11" s="63" t="s">
        <v>83</v>
      </c>
      <c r="C11" s="80">
        <f>COUNTIF(Fernald!$C$5:$C$32,"SP")</f>
        <v>11</v>
      </c>
      <c r="D11" s="82">
        <f>SUMIF(Fernald!$C$5:$F$32,"SP",Fernald!$F$5:$F$32)</f>
        <v>47.55000000000002</v>
      </c>
      <c r="E11" s="66"/>
      <c r="F11" s="80">
        <f>COUNTIF(Fernald!$C$5:$C$32,"rP")</f>
        <v>3</v>
      </c>
      <c r="G11" s="82">
        <f>SUMIF(Fernald!$C$5:$F$32,"rP",Fernald!$F$5:$F$32)</f>
        <v>5.1</v>
      </c>
      <c r="H11" s="66"/>
      <c r="I11" s="80">
        <f>COUNTIF(Fernald!$C$5:$C$32,"C")</f>
        <v>3</v>
      </c>
      <c r="J11" s="82">
        <f>SUMIF(Fernald!$C$5:$F$32,"C",Fernald!$F$5:$F$32)</f>
        <v>11.95</v>
      </c>
      <c r="K11" s="66"/>
      <c r="L11" s="80">
        <f>COUNTIF(Fernald!$C$5:$C$32,"1B")</f>
        <v>2</v>
      </c>
      <c r="M11" s="82">
        <f>SUMIF(Fernald!$C$5:$F$32,"1B",Fernald!$F$5:$F$32)</f>
        <v>13.7</v>
      </c>
      <c r="N11" s="66"/>
      <c r="O11" s="80">
        <f>COUNTIF(Fernald!$C$5:$C$32,"2B")</f>
        <v>1</v>
      </c>
      <c r="P11" s="82">
        <f>SUMIF(Fernald!$C$5:$F$32,"2B",Fernald!$F$5:$F$32)</f>
        <v>10.05</v>
      </c>
      <c r="Q11" s="66"/>
      <c r="R11" s="80">
        <f>COUNTIF(Fernald!$C$5:$C$32,"SS")</f>
        <v>1</v>
      </c>
      <c r="S11" s="82">
        <f>SUMIF(Fernald!$C$5:$F$32,"SS",Fernald!$F$5:$F$32)</f>
        <v>14</v>
      </c>
      <c r="T11" s="66"/>
      <c r="U11" s="80">
        <f>COUNTIF(Fernald!$C$5:$C$32,"3B")</f>
        <v>2</v>
      </c>
      <c r="V11" s="82">
        <f>SUMIF(Fernald!$C$5:$F$32,"3B",Fernald!$F$5:$F$32)</f>
        <v>18.05</v>
      </c>
      <c r="X11" s="80">
        <f>COUNTIF(Fernald!$C$5:$C$32,"OF")</f>
        <v>5</v>
      </c>
      <c r="Y11" s="82">
        <f>SUMIF(Fernald!$C$5:$F$32,"OF",Fernald!$F$5:$F$32)</f>
        <v>25.650000000000002</v>
      </c>
      <c r="AA11" s="82">
        <f t="shared" si="0"/>
        <v>146.05</v>
      </c>
    </row>
    <row r="12" spans="1:27" s="64" customFormat="1" ht="15" customHeight="1">
      <c r="A12" s="63" t="s">
        <v>164</v>
      </c>
      <c r="C12" s="80">
        <f>COUNTIF(Jagot!$C$5:$C$32,"SP")</f>
        <v>7</v>
      </c>
      <c r="D12" s="82">
        <f>SUMIF(Jagot!$C$5:$F$32,"SP",Jagot!$F$5:$F$32)</f>
        <v>39.300000000000004</v>
      </c>
      <c r="E12" s="66"/>
      <c r="F12" s="80">
        <f>COUNTIF(Jagot!$C$5:$C$32,"rP")</f>
        <v>6</v>
      </c>
      <c r="G12" s="82">
        <f>SUMIF(Jagot!$C$5:$F$32,"rP",Jagot!$F$5:$F$32)</f>
        <v>27.249999999999996</v>
      </c>
      <c r="H12" s="66"/>
      <c r="I12" s="80">
        <f>COUNTIF(Jagot!$C$5:$C$32,"C")</f>
        <v>2</v>
      </c>
      <c r="J12" s="82">
        <f>SUMIF(Jagot!$C$5:$F$32,"C",Jagot!$F$5:$F$32)</f>
        <v>17.1</v>
      </c>
      <c r="K12" s="66"/>
      <c r="L12" s="80">
        <f>COUNTIF(Jagot!$C$5:$C$32,"1B")</f>
        <v>2</v>
      </c>
      <c r="M12" s="82">
        <f>SUMIF(Jagot!$C$5:$F$32,"1B",Jagot!$F$5:$F$32)</f>
        <v>16.8</v>
      </c>
      <c r="N12" s="66"/>
      <c r="O12" s="80">
        <f>COUNTIF(Jagot!$C$5:$C$32,"2B")</f>
        <v>2</v>
      </c>
      <c r="P12" s="82">
        <f>SUMIF(Jagot!$C$5:$F$32,"2B",Jagot!$F$5:$F$32)</f>
        <v>7.95</v>
      </c>
      <c r="Q12" s="66"/>
      <c r="R12" s="80">
        <f>COUNTIF(Jagot!$C$5:$C$32,"SS")</f>
        <v>2</v>
      </c>
      <c r="S12" s="82">
        <f>SUMIF(Jagot!$C$5:$F$32,"SS",Jagot!$F$5:$F$32)</f>
        <v>13.850000000000001</v>
      </c>
      <c r="T12" s="66"/>
      <c r="U12" s="80">
        <f>COUNTIF(Jagot!$C$5:$C$32,"3B")</f>
        <v>2</v>
      </c>
      <c r="V12" s="82">
        <f>SUMIF(Jagot!$C$5:$F$32,"3B",Jagot!$F$5:$F$32)</f>
        <v>11.350000000000001</v>
      </c>
      <c r="X12" s="80">
        <f>COUNTIF(Jagot!$C$5:$C$32,"OF")</f>
        <v>5</v>
      </c>
      <c r="Y12" s="82">
        <f>SUMIF(Jagot!$C$5:$F$32,"OF",Jagot!$F$5:$F$32)</f>
        <v>32.45</v>
      </c>
      <c r="AA12" s="82">
        <f t="shared" si="0"/>
        <v>166.05</v>
      </c>
    </row>
    <row r="13" spans="1:27" s="64" customFormat="1" ht="15" customHeight="1">
      <c r="A13" s="63" t="s">
        <v>500</v>
      </c>
      <c r="C13" s="80">
        <f>COUNTIF(Konsul!$C$5:$C$32,"SP")</f>
        <v>11</v>
      </c>
      <c r="D13" s="82">
        <f>SUMIF(Konsul!$C$5:$F$32,"SP",Konsul!$F$5:$F$32)</f>
        <v>52.100000000000016</v>
      </c>
      <c r="E13" s="66"/>
      <c r="F13" s="80">
        <f>COUNTIF(Konsul!$C$5:$C$32,"rP")</f>
        <v>4</v>
      </c>
      <c r="G13" s="82">
        <f>SUMIF(Konsul!$C$5:$F$32,"RP",Konsul!$F$5:$F$32)</f>
        <v>15.249999999999998</v>
      </c>
      <c r="H13" s="66"/>
      <c r="I13" s="80">
        <f>COUNTIF(Konsul!$C$5:$C$32,"C")</f>
        <v>1</v>
      </c>
      <c r="J13" s="82">
        <f>SUMIF(Konsul!$C$5:$F$32,"C",Konsul!$F$5:$F$32)</f>
        <v>1.7</v>
      </c>
      <c r="K13" s="66"/>
      <c r="L13" s="80">
        <f>COUNTIF(Konsul!$C$5:$C$32,"1B")</f>
        <v>2</v>
      </c>
      <c r="M13" s="82">
        <f>SUMIF(Konsul!$C$5:$F$32,"1B",Konsul!$F$5:$F$32)</f>
        <v>11.8</v>
      </c>
      <c r="N13" s="66"/>
      <c r="O13" s="80">
        <f>COUNTIF(Konsul!$C$5:$C$32,"2B")</f>
        <v>2</v>
      </c>
      <c r="P13" s="82">
        <f>SUMIF(Konsul!$C$5:$F$32,"2B",Konsul!$F$5:$F$32)</f>
        <v>13.95</v>
      </c>
      <c r="Q13" s="66"/>
      <c r="R13" s="80">
        <f>COUNTIF(Konsul!$C$5:$C$32,"SS")</f>
        <v>1</v>
      </c>
      <c r="S13" s="82">
        <f>SUMIF(Konsul!$C$5:$F$32,"SS",Konsul!$F$5:$F$32)</f>
        <v>1.7</v>
      </c>
      <c r="T13" s="66"/>
      <c r="U13" s="80">
        <f>COUNTIF(Konsul!$C$5:$C$32,"3B")</f>
        <v>3</v>
      </c>
      <c r="V13" s="82">
        <f>SUMIF(Konsul!$C$5:$F$32,"3B",Konsul!$F$5:$F$32)</f>
        <v>14.1</v>
      </c>
      <c r="X13" s="80">
        <f>COUNTIF(Konsul!$C$5:$C$32,"OF")</f>
        <v>4</v>
      </c>
      <c r="Y13" s="82">
        <f>SUMIF(Konsul!$C$5:$F$32,"OF",Konsul!$F$5:$F$32)</f>
        <v>37.3</v>
      </c>
      <c r="AA13" s="82">
        <f t="shared" si="0"/>
        <v>147.90000000000003</v>
      </c>
    </row>
    <row r="14" spans="1:27" s="64" customFormat="1" ht="15" customHeight="1">
      <c r="A14" s="63" t="s">
        <v>91</v>
      </c>
      <c r="C14" s="80">
        <f>COUNTIF(Kumar!$C$5:$C$32,"SP")</f>
        <v>9</v>
      </c>
      <c r="D14" s="82">
        <f>SUMIF(Kumar!$C$5:$F$32,"SP",Kumar!$F$5:$F$32)</f>
        <v>40.05000000000001</v>
      </c>
      <c r="E14" s="66"/>
      <c r="F14" s="80">
        <f>COUNTIF(Kumar!$C$5:$C$32,"rP")</f>
        <v>5</v>
      </c>
      <c r="G14" s="82">
        <f>SUMIF(Kumar!$C$5:$F$32,"RP",Kumar!$F$5:$F$32)</f>
        <v>24.949999999999996</v>
      </c>
      <c r="H14" s="66"/>
      <c r="I14" s="80">
        <f>COUNTIF(Kumar!$C$5:$C$32,"C")</f>
        <v>1</v>
      </c>
      <c r="J14" s="82">
        <f>SUMIF(Kumar!$C$5:$F$32,"C",Kumar!$F$5:$F$32)</f>
        <v>12.75</v>
      </c>
      <c r="K14" s="66"/>
      <c r="L14" s="80">
        <f>COUNTIF(Kumar!$C$5:$C$32,"1B")</f>
        <v>2</v>
      </c>
      <c r="M14" s="82">
        <f>SUMIF(Kumar!$C$5:$F$32,"1B",Kumar!$F$5:$F$32)</f>
        <v>9.45</v>
      </c>
      <c r="N14" s="66"/>
      <c r="O14" s="80">
        <f>COUNTIF(Kumar!$C$5:$C$32,"2B")</f>
        <v>2</v>
      </c>
      <c r="P14" s="82">
        <f>SUMIF(Kumar!$C$5:$F$32,"2B",Kumar!$F$5:$F$32)</f>
        <v>13.45</v>
      </c>
      <c r="Q14" s="66"/>
      <c r="R14" s="80">
        <f>COUNTIF(Kumar!$C$5:$C$32,"SS")</f>
        <v>1</v>
      </c>
      <c r="S14" s="82">
        <f>SUMIF(Kumar!$C$5:$F$32,"SS",Kumar!$F$5:$F$32)</f>
        <v>1.7</v>
      </c>
      <c r="T14" s="66"/>
      <c r="U14" s="80">
        <f>COUNTIF(Kumar!$C$5:$C$32,"3B")</f>
        <v>3</v>
      </c>
      <c r="V14" s="82">
        <f>SUMIF(Kumar!$C$5:$F$32,"3B",Kumar!$F$5:$F$32)</f>
        <v>17.5</v>
      </c>
      <c r="X14" s="80">
        <f>COUNTIF(Kumar!$C$5:$C$32,"OF")</f>
        <v>5</v>
      </c>
      <c r="Y14" s="82">
        <f>SUMIF(Kumar!$C$5:$F$32,"OF",Kumar!$F$5:$F$32)</f>
        <v>38.400000000000006</v>
      </c>
      <c r="AA14" s="82">
        <f t="shared" si="0"/>
        <v>158.25</v>
      </c>
    </row>
    <row r="15" spans="1:27" s="64" customFormat="1" ht="15" customHeight="1">
      <c r="A15" s="63" t="s">
        <v>9</v>
      </c>
      <c r="C15" s="80">
        <f>COUNTIF(Rittenhouse!$C$5:$C$32,"SP")</f>
        <v>8</v>
      </c>
      <c r="D15" s="82">
        <f>SUMIF(Rittenhouse!$C$5:$F$32,"SP",Rittenhouse!$F$5:$F$32)</f>
        <v>45.85000000000001</v>
      </c>
      <c r="E15" s="66"/>
      <c r="F15" s="80">
        <f>COUNTIF(Rittenhouse!$C$5:$C$32,"rP")</f>
        <v>6</v>
      </c>
      <c r="G15" s="82">
        <f>SUMIF(Rittenhouse!$C$5:$F$32,"RP",Rittenhouse!$F$5:$F$32)</f>
        <v>11.2</v>
      </c>
      <c r="H15" s="66"/>
      <c r="I15" s="80">
        <f>COUNTIF(Rittenhouse!$C$5:$C$32,"C")</f>
        <v>2</v>
      </c>
      <c r="J15" s="82">
        <f>SUMIF(Rittenhouse!$C$5:$F$32,"C",Rittenhouse!$F$5:$F$32)</f>
        <v>8.7</v>
      </c>
      <c r="K15" s="66"/>
      <c r="L15" s="80">
        <f>COUNTIF(Rittenhouse!$C$5:$C$32,"1B")</f>
        <v>1</v>
      </c>
      <c r="M15" s="82">
        <f>SUMIF(Rittenhouse!$C$5:$F$32,"1B",Rittenhouse!$F$5:$F$32)</f>
        <v>1.7</v>
      </c>
      <c r="N15" s="66"/>
      <c r="O15" s="80">
        <f>COUNTIF(Rittenhouse!$C$5:$C$32,"2B")</f>
        <v>1</v>
      </c>
      <c r="P15" s="82">
        <f>SUMIF(Rittenhouse!$C$5:$F$32,"2B",Rittenhouse!$F$5:$F$32)</f>
        <v>5.5</v>
      </c>
      <c r="Q15" s="66"/>
      <c r="R15" s="80">
        <f>COUNTIF(Rittenhouse!$C$5:$C$32,"SS")</f>
        <v>2</v>
      </c>
      <c r="S15" s="82">
        <f>SUMIF(Rittenhouse!$C$5:$F$32,"SS",Rittenhouse!$F$5:$F$32)</f>
        <v>5.9</v>
      </c>
      <c r="T15" s="66"/>
      <c r="U15" s="80">
        <f>COUNTIF(Rittenhouse!$C$5:$C$32,"3B")</f>
        <v>2</v>
      </c>
      <c r="V15" s="82">
        <f>SUMIF(Rittenhouse!$C$5:$F$32,"3B",Rittenhouse!$F$5:$F$32)</f>
        <v>13</v>
      </c>
      <c r="X15" s="80">
        <f>COUNTIF(Rittenhouse!$C$5:$C$32,"OF")</f>
        <v>6</v>
      </c>
      <c r="Y15" s="82">
        <f>SUMIF(Rittenhouse!$C$5:$F$32,"OF",Rittenhouse!$F$5:$F$32)</f>
        <v>33.85</v>
      </c>
      <c r="AA15" s="82">
        <f t="shared" si="0"/>
        <v>125.70000000000003</v>
      </c>
    </row>
    <row r="16" spans="1:27" s="64" customFormat="1" ht="15" customHeight="1">
      <c r="A16" s="63" t="s">
        <v>436</v>
      </c>
      <c r="C16" s="80">
        <f>COUNTIF(Shepherd!$C$5:$C$32,"SP")</f>
        <v>6</v>
      </c>
      <c r="D16" s="82">
        <f>SUMIF(Shepherd!$C$5:$F$32,"SP",Shepherd!$F$5:$F$32)</f>
        <v>63.35</v>
      </c>
      <c r="E16" s="66"/>
      <c r="F16" s="80">
        <f>COUNTIF(Shepherd!$C$5:$C$32,"rP")</f>
        <v>5</v>
      </c>
      <c r="G16" s="82">
        <f>SUMIF(Shepherd!$C$5:$F$32,"RP",Shepherd!$F$5:$F$32)</f>
        <v>41.650000000000006</v>
      </c>
      <c r="H16" s="66"/>
      <c r="I16" s="80">
        <f>COUNTIF(Shepherd!$C$5:$C$32,"C")</f>
        <v>1</v>
      </c>
      <c r="J16" s="82">
        <f>SUMIF(Shepherd!$C$5:$F$32,"C",Shepherd!$F$5:$F$32)</f>
        <v>12.25</v>
      </c>
      <c r="K16" s="66"/>
      <c r="L16" s="80">
        <f>COUNTIF(Shepherd!$C$5:$C$32,"1B")</f>
        <v>1</v>
      </c>
      <c r="M16" s="82">
        <f>SUMIF(Shepherd!$C$5:$F$32,"1B",Shepherd!$F$5:$F$32)</f>
        <v>2.7</v>
      </c>
      <c r="N16" s="66"/>
      <c r="O16" s="80">
        <f>COUNTIF(Shepherd!$C$5:$C$32,"2B")</f>
        <v>2</v>
      </c>
      <c r="P16" s="82">
        <f>SUMIF(Shepherd!$C$5:$F$32,"2B",Shepherd!$F$5:$F$32)</f>
        <v>14.45</v>
      </c>
      <c r="Q16" s="66"/>
      <c r="R16" s="80">
        <f>COUNTIF(Shepherd!$C$5:$C$32,"SS")</f>
        <v>2</v>
      </c>
      <c r="S16" s="82">
        <f>SUMIF(Shepherd!$C$5:$F$32,"SS",Shepherd!$F$5:$F$32)</f>
        <v>19.25</v>
      </c>
      <c r="T16" s="66"/>
      <c r="U16" s="80">
        <f>COUNTIF(Shepherd!$C$5:$C$32,"3B")</f>
        <v>1</v>
      </c>
      <c r="V16" s="82">
        <f>SUMIF(Shepherd!$C$5:$F$32,"3B",Shepherd!$F$5:$F$32)</f>
        <v>14.45</v>
      </c>
      <c r="X16" s="80">
        <f>COUNTIF(Shepherd!$C$5:$C$32,"OF")</f>
        <v>5</v>
      </c>
      <c r="Y16" s="82">
        <f>SUMIF(Shepherd!$C$5:$F$32,"OF",Shepherd!$F$5:$F$32)</f>
        <v>19.65</v>
      </c>
      <c r="AA16" s="82">
        <f t="shared" si="0"/>
        <v>187.74999999999997</v>
      </c>
    </row>
    <row r="17" spans="1:27" s="64" customFormat="1" ht="15" customHeight="1">
      <c r="A17" s="63" t="s">
        <v>501</v>
      </c>
      <c r="C17" s="80">
        <f>COUNTIF(Uberoi!$C$5:$C$32,"SP")</f>
        <v>10</v>
      </c>
      <c r="D17" s="82">
        <f>SUMIF(Uberoi!$C$5:$F$32,"SP",Uberoi!$F$5:$F$32)</f>
        <v>57.250000000000014</v>
      </c>
      <c r="E17" s="66"/>
      <c r="F17" s="80">
        <f>COUNTIF(Uberoi!$C$5:$C$32,"rP")</f>
        <v>3</v>
      </c>
      <c r="G17" s="82">
        <f>SUMIF(Uberoi!$C$5:$F$32,"RP",Uberoi!$F$5:$F$32)</f>
        <v>19.95</v>
      </c>
      <c r="H17" s="66"/>
      <c r="I17" s="80">
        <f>COUNTIF(Uberoi!$C$5:$C$32,"C")</f>
        <v>1</v>
      </c>
      <c r="J17" s="82">
        <f>SUMIF(Uberoi!$C$5:$F$32,"C",Uberoi!$F$5:$F$32)</f>
        <v>7.5</v>
      </c>
      <c r="K17" s="66"/>
      <c r="L17" s="80">
        <f>COUNTIF(Uberoi!$C$5:$C$32,"1B")</f>
        <v>2</v>
      </c>
      <c r="M17" s="82">
        <f>SUMIF(Uberoi!$C$5:$F$32,"1B",Uberoi!$F$5:$F$32)</f>
        <v>9.75</v>
      </c>
      <c r="N17" s="66"/>
      <c r="O17" s="80">
        <f>COUNTIF(Uberoi!$C$5:$C$32,"2B")</f>
        <v>1</v>
      </c>
      <c r="P17" s="82">
        <f>SUMIF(Uberoi!$C$5:$F$32,"2B",Uberoi!$F$5:$F$32)</f>
        <v>1.55</v>
      </c>
      <c r="Q17" s="66"/>
      <c r="R17" s="80">
        <f>COUNTIF(Uberoi!$C$5:$C$32,"SS")</f>
        <v>2</v>
      </c>
      <c r="S17" s="82">
        <f>SUMIF(Uberoi!$C$5:$F$32,"SS",Uberoi!$F$5:$F$32)</f>
        <v>7</v>
      </c>
      <c r="T17" s="66"/>
      <c r="U17" s="80">
        <f>COUNTIF(Uberoi!$C$5:$C$32,"3B")</f>
        <v>2</v>
      </c>
      <c r="V17" s="82">
        <f>SUMIF(Uberoi!$C$5:$F$32,"3B",Uberoi!$F$5:$F$32)</f>
        <v>19.95</v>
      </c>
      <c r="X17" s="80">
        <f>COUNTIF(Uberoi!$C$5:$C$32,"OF")</f>
        <v>4</v>
      </c>
      <c r="Y17" s="82">
        <f>SUMIF(Uberoi!$C$5:$F$32,"OF",Uberoi!$F$5:$F$32)</f>
        <v>41.75</v>
      </c>
      <c r="AA17" s="82">
        <f t="shared" si="0"/>
        <v>164.70000000000002</v>
      </c>
    </row>
    <row r="18" spans="1:27" s="64" customFormat="1" ht="15" customHeight="1">
      <c r="A18" s="63" t="s">
        <v>93</v>
      </c>
      <c r="C18" s="80">
        <f>COUNTIF(Wilt!$C$5:$C$32,"SP")</f>
        <v>4</v>
      </c>
      <c r="D18" s="82">
        <f>SUMIF(Wilt!$C$5:$F$32,"SP",Wilt!$F$5:$F$32)</f>
        <v>29.05</v>
      </c>
      <c r="E18" s="66"/>
      <c r="F18" s="80">
        <f>COUNTIF(Wilt!$C$5:$C$32,"rP")</f>
        <v>4</v>
      </c>
      <c r="G18" s="82">
        <f>SUMIF(Wilt!$C$5:$F$32,"RP",Wilt!$F$5:$F$32)</f>
        <v>24.150000000000002</v>
      </c>
      <c r="H18" s="66"/>
      <c r="I18" s="80">
        <f>COUNTIF(Wilt!$C$5:$C$32,"C")</f>
        <v>1</v>
      </c>
      <c r="J18" s="82">
        <f>SUMIF(Wilt!$C$5:$F$32,"C",Wilt!$F$5:$F$32)</f>
        <v>1.7</v>
      </c>
      <c r="K18" s="66"/>
      <c r="L18" s="80">
        <f>COUNTIF(Wilt!$C$5:$C$32,"1B")</f>
        <v>4</v>
      </c>
      <c r="M18" s="82">
        <f>SUMIF(Wilt!$C$5:$F$32,"1B",Wilt!$F$5:$F$32)</f>
        <v>25.349999999999998</v>
      </c>
      <c r="N18" s="66"/>
      <c r="O18" s="80">
        <f>COUNTIF(Wilt!$C$5:$C$32,"2B")</f>
        <v>1</v>
      </c>
      <c r="P18" s="82">
        <f>SUMIF(Wilt!$C$5:$F$32,"2B",Wilt!$F$5:$F$32)</f>
        <v>4.75</v>
      </c>
      <c r="Q18" s="66"/>
      <c r="R18" s="80">
        <f>COUNTIF(Wilt!$C$5:$C$32,"SS")</f>
        <v>1</v>
      </c>
      <c r="S18" s="82">
        <f>SUMIF(Wilt!$C$5:$F$32,"SS",Wilt!$F$5:$F$32)</f>
        <v>19.8</v>
      </c>
      <c r="T18" s="66"/>
      <c r="U18" s="80">
        <f>COUNTIF(Wilt!$C$5:$C$32,"3B")</f>
        <v>1</v>
      </c>
      <c r="V18" s="82">
        <f>SUMIF(Wilt!$C$5:$F$32,"3B",Wilt!$F$5:$F$32)</f>
        <v>12</v>
      </c>
      <c r="X18" s="80">
        <f>COUNTIF(Wilt!$C$5:$C$32,"OF")</f>
        <v>2</v>
      </c>
      <c r="Y18" s="82">
        <f>SUMIF(Wilt!$C$5:$F$32,"OF",Wilt!$F$5:$F$32)</f>
        <v>16.2</v>
      </c>
      <c r="AA18" s="82">
        <f t="shared" si="0"/>
        <v>133</v>
      </c>
    </row>
    <row r="19" spans="1:27" s="64" customFormat="1" ht="15" customHeight="1">
      <c r="A19" s="63" t="s">
        <v>10</v>
      </c>
      <c r="C19" s="80">
        <f>COUNTIF(WoodfordB!$C$5:$C$32,"SP")</f>
        <v>8</v>
      </c>
      <c r="D19" s="82">
        <f>SUMIF(WoodfordB!$C$5:$F$32,"SP",WoodfordB!$F$5:$F$32)</f>
        <v>50.2</v>
      </c>
      <c r="E19" s="66"/>
      <c r="F19" s="80">
        <f>COUNTIF(WoodfordB!$C$5:$C$32,"rP")</f>
        <v>5</v>
      </c>
      <c r="G19" s="82">
        <f>SUMIF(WoodfordB!$C$5:$F$32,"RP",WoodfordB!$F$5:$F$32)</f>
        <v>24.45</v>
      </c>
      <c r="H19" s="66"/>
      <c r="I19" s="80">
        <f>COUNTIF(WoodfordB!$C$5:$C$32,"C")</f>
        <v>3</v>
      </c>
      <c r="J19" s="82">
        <f>SUMIF(WoodfordB!$C$5:$F$32,"C",WoodfordB!$F$5:$F$32)</f>
        <v>10.249999999999998</v>
      </c>
      <c r="K19" s="66"/>
      <c r="L19" s="80">
        <f>COUNTIF(WoodfordB!$C$5:$C$32,"1B")</f>
        <v>2</v>
      </c>
      <c r="M19" s="82">
        <f>SUMIF(WoodfordB!$C$5:$F$32,"1B",WoodfordB!$F$5:$F$32)</f>
        <v>10.75</v>
      </c>
      <c r="N19" s="66"/>
      <c r="O19" s="80">
        <f>COUNTIF(WoodfordB!$C$5:$C$32,"2B")</f>
        <v>2</v>
      </c>
      <c r="P19" s="82">
        <f>SUMIF(WoodfordB!$C$5:$F$32,"2B",WoodfordB!$F$5:$F$32)</f>
        <v>3.4</v>
      </c>
      <c r="Q19" s="66"/>
      <c r="R19" s="80">
        <f>COUNTIF(WoodfordB!$C$5:$C$32,"SS")</f>
        <v>2</v>
      </c>
      <c r="S19" s="82">
        <f>SUMIF(WoodfordB!$C$5:$F$32,"SS",WoodfordB!$F$5:$F$32)</f>
        <v>3.75</v>
      </c>
      <c r="T19" s="66"/>
      <c r="U19" s="80">
        <f>COUNTIF(WoodfordB!$C$5:$C$32,"3B")</f>
        <v>2</v>
      </c>
      <c r="V19" s="82">
        <f>SUMIF(WoodfordB!$C$5:$F$32,"3B",WoodfordB!$F$5:$F$32)</f>
        <v>8.45</v>
      </c>
      <c r="X19" s="80">
        <f>COUNTIF(WoodfordB!$C$5:$C$32,"OF")</f>
        <v>4</v>
      </c>
      <c r="Y19" s="82">
        <f>SUMIF(WoodfordB!$C$5:$F$32,"OF",WoodfordB!$F$5:$F$32)</f>
        <v>32.300000000000004</v>
      </c>
      <c r="AA19" s="82">
        <f t="shared" si="0"/>
        <v>143.55</v>
      </c>
    </row>
    <row r="20" spans="1:27" s="64" customFormat="1" ht="15" customHeight="1">
      <c r="A20" s="63" t="s">
        <v>11</v>
      </c>
      <c r="C20" s="80">
        <f>COUNTIF(WoodfordW!$C$5:$C$32,"SP")</f>
        <v>6</v>
      </c>
      <c r="D20" s="82">
        <f>SUMIF(WoodfordW!$C$5:$F$32,"SP",WoodfordW!$F$5:$F$32)</f>
        <v>49.20000000000001</v>
      </c>
      <c r="E20" s="66"/>
      <c r="F20" s="80">
        <f>COUNTIF(WoodfordW!$C$5:$C$32,"rP")</f>
        <v>8</v>
      </c>
      <c r="G20" s="82">
        <f>SUMIF(WoodfordW!$C$5:$F$32,"RP",WoodfordW!$F$5:$F$32)</f>
        <v>23.899999999999995</v>
      </c>
      <c r="H20" s="66"/>
      <c r="I20" s="80">
        <f>COUNTIF(WoodfordW!$C$5:$C$32,"C")</f>
        <v>2</v>
      </c>
      <c r="J20" s="82">
        <f>SUMIF(WoodfordW!$C$5:$F$32,"C",WoodfordW!$F$5:$F$32)</f>
        <v>3.75</v>
      </c>
      <c r="K20" s="66"/>
      <c r="L20" s="80">
        <f>COUNTIF(WoodfordW!$C$5:$C$32,"1B")</f>
        <v>2</v>
      </c>
      <c r="M20" s="82">
        <f>SUMIF(WoodfordW!$C$5:$F$32,"1B",WoodfordW!$F$5:$F$32)</f>
        <v>10.3</v>
      </c>
      <c r="N20" s="66"/>
      <c r="O20" s="80">
        <f>COUNTIF(WoodfordW!$C$5:$C$32,"2B")</f>
        <v>1</v>
      </c>
      <c r="P20" s="82">
        <f>SUMIF(WoodfordW!$C$5:$F$32,"2B",WoodfordW!$F$5:$F$32)</f>
        <v>6.4</v>
      </c>
      <c r="Q20" s="66"/>
      <c r="R20" s="80">
        <f>COUNTIF(WoodfordW!$C$5:$C$32,"SS")</f>
        <v>1</v>
      </c>
      <c r="S20" s="82">
        <f>SUMIF(WoodfordW!$C$5:$F$32,"SS",WoodfordW!$F$5:$F$32)</f>
        <v>15.05</v>
      </c>
      <c r="T20" s="66"/>
      <c r="U20" s="80">
        <f>COUNTIF(WoodfordW!$C$5:$C$32,"3B")</f>
        <v>2</v>
      </c>
      <c r="V20" s="82">
        <f>SUMIF(WoodfordW!$C$5:$F$32,"3B",WoodfordW!$F$5:$F$32)</f>
        <v>11.35</v>
      </c>
      <c r="X20" s="80">
        <f>COUNTIF(WoodfordW!$C$5:$C$32,"OF")</f>
        <v>6</v>
      </c>
      <c r="Y20" s="82">
        <f>SUMIF(WoodfordW!$C$5:$F$32,"OF",WoodfordW!$F$5:$F$32)</f>
        <v>39.35</v>
      </c>
      <c r="AA20" s="82">
        <f t="shared" si="0"/>
        <v>159.3</v>
      </c>
    </row>
    <row r="21" ht="12.75">
      <c r="R21" s="83"/>
    </row>
    <row r="22" spans="1:27" ht="15">
      <c r="A22" s="115" t="s">
        <v>498</v>
      </c>
      <c r="D22" s="116">
        <f>+SUM(C5:C20)</f>
        <v>129</v>
      </c>
      <c r="G22" s="116">
        <f>+SUM(F5:F20)</f>
        <v>86</v>
      </c>
      <c r="J22" s="116">
        <f>+SUM(I5:I20)</f>
        <v>29</v>
      </c>
      <c r="M22" s="116">
        <f>+SUM(L5:L20)</f>
        <v>29</v>
      </c>
      <c r="P22" s="116">
        <f>+SUM(O5:O20)</f>
        <v>27</v>
      </c>
      <c r="S22" s="116">
        <f>+SUM(R5:R20)</f>
        <v>26</v>
      </c>
      <c r="V22" s="116">
        <f>+SUM(U5:U20)</f>
        <v>29</v>
      </c>
      <c r="Y22" s="116">
        <f>+SUM(X5:X20)</f>
        <v>75</v>
      </c>
      <c r="AA22" s="116">
        <f>SUM(D22:Z22)</f>
        <v>430</v>
      </c>
    </row>
    <row r="23" spans="1:27" ht="15">
      <c r="A23" s="115" t="s">
        <v>499</v>
      </c>
      <c r="D23" s="84">
        <f>+SUM(D5:D20)/D22</f>
        <v>6.38139534883721</v>
      </c>
      <c r="G23" s="84">
        <f>+SUM(G5:G20)/G22</f>
        <v>4.258720930232557</v>
      </c>
      <c r="J23" s="84">
        <f>+SUM(J5:J20)/J22</f>
        <v>4.8551724137931025</v>
      </c>
      <c r="M23" s="84">
        <f>+SUM(M5:M20)/M22</f>
        <v>5.751724137931035</v>
      </c>
      <c r="P23" s="84">
        <f>+SUM(P5:P20)/P22</f>
        <v>4.911111111111112</v>
      </c>
      <c r="S23" s="84">
        <f>+SUM(S5:S20)/S22</f>
        <v>5.91923076923077</v>
      </c>
      <c r="V23" s="84">
        <f>+SUM(V5:V20)/V22</f>
        <v>6.437931034482757</v>
      </c>
      <c r="Y23" s="84">
        <f>+SUM(Y5:Y20)/Y22</f>
        <v>6.264666666666667</v>
      </c>
      <c r="AA23" s="84">
        <f>+AVERAGE(AA5:AA20)</f>
        <v>152.50625000000002</v>
      </c>
    </row>
    <row r="25" ht="12.75">
      <c r="AA25" s="117"/>
    </row>
  </sheetData>
  <sheetProtection/>
  <mergeCells count="8">
    <mergeCell ref="U3:V3"/>
    <mergeCell ref="X3:Y3"/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4.7109375" style="40" customWidth="1"/>
    <col min="4" max="4" width="5.7109375" style="40" customWidth="1"/>
    <col min="5" max="5" width="6.7109375" style="40" customWidth="1"/>
    <col min="6" max="6" width="7.7109375" style="91" customWidth="1"/>
    <col min="7" max="7" width="6.7109375" style="40" customWidth="1"/>
    <col min="8" max="8" width="4.7109375" style="0" customWidth="1"/>
    <col min="9" max="9" width="16.7109375" style="0" customWidth="1"/>
    <col min="10" max="10" width="4.7109375" style="40" customWidth="1"/>
    <col min="11" max="11" width="5.7109375" style="40" customWidth="1"/>
    <col min="12" max="12" width="6.7109375" style="40" customWidth="1"/>
    <col min="13" max="13" width="7.7109375" style="91" customWidth="1"/>
    <col min="14" max="14" width="6.7109375" style="40" customWidth="1"/>
    <col min="15" max="15" width="4.7109375" style="0" customWidth="1"/>
    <col min="16" max="16" width="16.7109375" style="0" customWidth="1"/>
    <col min="17" max="17" width="4.7109375" style="40" customWidth="1"/>
    <col min="18" max="18" width="5.7109375" style="40" customWidth="1"/>
    <col min="19" max="19" width="6.7109375" style="40" customWidth="1"/>
    <col min="20" max="20" width="7.7109375" style="91" customWidth="1"/>
    <col min="21" max="21" width="6.7109375" style="40" customWidth="1"/>
  </cols>
  <sheetData>
    <row r="1" spans="1:21" ht="12.75">
      <c r="A1" s="135" t="s">
        <v>465</v>
      </c>
      <c r="B1" s="136"/>
      <c r="C1" s="136"/>
      <c r="D1" s="136"/>
      <c r="E1" s="136"/>
      <c r="F1" s="136"/>
      <c r="G1" s="137"/>
      <c r="H1" s="135" t="s">
        <v>471</v>
      </c>
      <c r="I1" s="136"/>
      <c r="J1" s="136"/>
      <c r="K1" s="136"/>
      <c r="L1" s="136"/>
      <c r="M1" s="136"/>
      <c r="N1" s="137"/>
      <c r="O1" s="135" t="s">
        <v>476</v>
      </c>
      <c r="P1" s="136"/>
      <c r="Q1" s="136"/>
      <c r="R1" s="136"/>
      <c r="S1" s="136"/>
      <c r="T1" s="136"/>
      <c r="U1" s="137"/>
    </row>
    <row r="2" spans="1:21" ht="12.75">
      <c r="A2" s="97">
        <v>1</v>
      </c>
      <c r="B2" s="98" t="str">
        <f>IF(VLOOKUP($A2,Adkisson!$A$40:$G$45,2,FALSE)=0,"",VLOOKUP($A2,Adkisson!$A$40:$G$45,2,FALSE))</f>
        <v>Rodon, Carlos</v>
      </c>
      <c r="C2" s="99" t="str">
        <f>IF(VLOOKUP($A2,Adkisson!$A$40:$G$45,3,FALSE)=0,"",VLOOKUP($A2,Adkisson!$A$40:$G$45,3,FALSE))</f>
        <v>SP</v>
      </c>
      <c r="D2" s="99" t="str">
        <f>IF(VLOOKUP($A2,Adkisson!$A$40:$G$45,4,FALSE)=0,"",VLOOKUP($A2,Adkisson!$A$40:$G$45,4,FALSE))</f>
        <v>CHC</v>
      </c>
      <c r="E2" s="99" t="str">
        <f>IF(VLOOKUP($A2,Adkisson!$A$40:$G$45,5,FALSE)=0,"",VLOOKUP($A2,Adkisson!$A$40:$G$45,5,FALSE))</f>
        <v>A15</v>
      </c>
      <c r="F2" s="100">
        <f>IF(VLOOKUP($A2,Adkisson!$A$40:$G$45,6,FALSE)=0,"",VLOOKUP($A2,Adkisson!$A$40:$G$45,6,FALSE))</f>
        <v>13.15</v>
      </c>
      <c r="G2" s="101">
        <f>IF(VLOOKUP($A2,Adkisson!$A$40:$G$45,7,FALSE)=0,"",VLOOKUP($A2,Adkisson!$A$40:$G$45,7,FALSE))</f>
        <v>2019</v>
      </c>
      <c r="H2" s="97">
        <v>1</v>
      </c>
      <c r="I2" s="98" t="str">
        <f>IF(VLOOKUP($A2,Fernald!$A$40:$G$45,2,FALSE)=0,"",VLOOKUP($A2,Fernald!$A$40:$G$45,2,FALSE))</f>
        <v>Giolito, Lucas</v>
      </c>
      <c r="J2" s="99" t="str">
        <f>IF(VLOOKUP($A2,Fernald!$A$40:$G$45,3,FALSE)=0,"",VLOOKUP($A2,Fernald!$A$40:$G$45,3,FALSE))</f>
        <v>SP</v>
      </c>
      <c r="K2" s="99">
        <f>IF(VLOOKUP($A2,Fernald!$A$40:$G$45,4,FALSE)=0,"",VLOOKUP($A2,Fernald!$A$40:$G$45,4,FALSE))</f>
      </c>
      <c r="L2" s="99" t="str">
        <f>IF(VLOOKUP($A2,Fernald!$A$40:$G$45,5,FALSE)=0,"",VLOOKUP($A2,Fernald!$A$40:$G$45,5,FALSE))</f>
        <v>A15</v>
      </c>
      <c r="M2" s="100">
        <f>IF(VLOOKUP($A2,Fernald!$A$40:$G$45,6,FALSE)=0,"",VLOOKUP($A2,Fernald!$A$40:$G$45,6,FALSE))</f>
        <v>13.5</v>
      </c>
      <c r="N2" s="101">
        <f>IF(VLOOKUP($A2,Fernald!$A$40:$G$45,7,FALSE)=0,"",VLOOKUP($A2,Fernald!$A$40:$G$45,7,FALSE))</f>
        <v>2019</v>
      </c>
      <c r="O2" s="97">
        <v>1</v>
      </c>
      <c r="P2" s="98" t="str">
        <f>IF(VLOOKUP($A2,Shepherd!$A$40:$G$45,2,FALSE)=0,"",VLOOKUP($A2,Shepherd!$A$40:$G$45,2,FALSE))</f>
        <v>Moncada, Yoan</v>
      </c>
      <c r="Q2" s="99" t="str">
        <f>IF(VLOOKUP($A2,Shepherd!$A$40:$G$45,3,FALSE)=0,"",VLOOKUP($A2,Shepherd!$A$40:$G$45,3,FALSE))</f>
        <v>2B</v>
      </c>
      <c r="R2" s="99" t="str">
        <f>IF(VLOOKUP($A2,Shepherd!$A$40:$G$45,4,FALSE)=0,"",VLOOKUP($A2,Shepherd!$A$40:$G$45,4,FALSE))</f>
        <v>Bos</v>
      </c>
      <c r="S2" s="99" t="str">
        <f>IF(VLOOKUP($A2,Shepherd!$A$40:$G$45,5,FALSE)=0,"",VLOOKUP($A2,Shepherd!$A$40:$G$45,5,FALSE))</f>
        <v>A15</v>
      </c>
      <c r="T2" s="100">
        <f>IF(VLOOKUP($A2,Shepherd!$A$40:$G$45,6,FALSE)=0,"",VLOOKUP($A2,Shepherd!$A$40:$G$45,6,FALSE))</f>
        <v>7.95</v>
      </c>
      <c r="U2" s="101">
        <f>IF(VLOOKUP($A2,Shepherd!$A$40:$G$45,7,FALSE)=0,"",VLOOKUP($A2,Shepherd!$A$40:$G$45,7,FALSE))</f>
        <v>2019</v>
      </c>
    </row>
    <row r="3" spans="1:21" ht="12.75">
      <c r="A3" s="97">
        <v>2</v>
      </c>
      <c r="B3" s="98" t="str">
        <f>IF(VLOOKUP($A3,Adkisson!$A$40:$G$45,2,FALSE)=0,"",VLOOKUP($A3,Adkisson!$A$40:$G$45,2,FALSE))</f>
        <v>Schwarber, Kyle</v>
      </c>
      <c r="C3" s="99" t="str">
        <f>IF(VLOOKUP($A3,Adkisson!$A$40:$G$45,3,FALSE)=0,"",VLOOKUP($A3,Adkisson!$A$40:$G$45,3,FALSE))</f>
        <v>C</v>
      </c>
      <c r="D3" s="99" t="str">
        <f>IF(VLOOKUP($A3,Adkisson!$A$40:$G$45,4,FALSE)=0,"",VLOOKUP($A3,Adkisson!$A$40:$G$45,4,FALSE))</f>
        <v>CHC</v>
      </c>
      <c r="E3" s="99" t="str">
        <f>IF(VLOOKUP($A3,Adkisson!$A$40:$G$45,5,FALSE)=0,"",VLOOKUP($A3,Adkisson!$A$40:$G$45,5,FALSE))</f>
        <v>A15</v>
      </c>
      <c r="F3" s="100">
        <f>IF(VLOOKUP($A3,Adkisson!$A$40:$G$45,6,FALSE)=0,"",VLOOKUP($A3,Adkisson!$A$40:$G$45,6,FALSE))</f>
        <v>7.95</v>
      </c>
      <c r="G3" s="101">
        <f>IF(VLOOKUP($A3,Adkisson!$A$40:$G$45,7,FALSE)=0,"",VLOOKUP($A3,Adkisson!$A$40:$G$45,7,FALSE))</f>
        <v>2019</v>
      </c>
      <c r="H3" s="97">
        <v>2</v>
      </c>
      <c r="I3" s="98" t="str">
        <f>IF(VLOOKUP($A3,Fernald!$A$40:$G$45,2,FALSE)=0,"",VLOOKUP($A3,Fernald!$A$40:$G$45,2,FALSE))</f>
        <v>Gallo, Joey</v>
      </c>
      <c r="J3" s="99" t="str">
        <f>IF(VLOOKUP($A3,Fernald!$A$40:$G$45,3,FALSE)=0,"",VLOOKUP($A3,Fernald!$A$40:$G$45,3,FALSE))</f>
        <v>3B</v>
      </c>
      <c r="K3" s="99">
        <f>IF(VLOOKUP($A3,Fernald!$A$40:$G$45,4,FALSE)=0,"",VLOOKUP($A3,Fernald!$A$40:$G$45,4,FALSE))</f>
      </c>
      <c r="L3" s="99" t="str">
        <f>IF(VLOOKUP($A3,Fernald!$A$40:$G$45,5,FALSE)=0,"",VLOOKUP($A3,Fernald!$A$40:$G$45,5,FALSE))</f>
        <v>A15</v>
      </c>
      <c r="M3" s="100">
        <f>IF(VLOOKUP($A3,Fernald!$A$40:$G$45,6,FALSE)=0,"",VLOOKUP($A3,Fernald!$A$40:$G$45,6,FALSE))</f>
        <v>12.5</v>
      </c>
      <c r="N3" s="101">
        <f>IF(VLOOKUP($A3,Fernald!$A$40:$G$45,7,FALSE)=0,"",VLOOKUP($A3,Fernald!$A$40:$G$45,7,FALSE))</f>
        <v>2019</v>
      </c>
      <c r="O3" s="97">
        <v>2</v>
      </c>
      <c r="P3" s="98" t="str">
        <f>IF(VLOOKUP($A3,Shepherd!$A$40:$G$45,2,FALSE)=0,"",VLOOKUP($A3,Shepherd!$A$40:$G$45,2,FALSE))</f>
        <v>Ramirez, Jose</v>
      </c>
      <c r="Q3" s="99" t="str">
        <f>IF(VLOOKUP($A3,Shepherd!$A$40:$G$45,3,FALSE)=0,"",VLOOKUP($A3,Shepherd!$A$40:$G$45,3,FALSE))</f>
        <v>RP</v>
      </c>
      <c r="R3" s="99" t="str">
        <f>IF(VLOOKUP($A3,Shepherd!$A$40:$G$45,4,FALSE)=0,"",VLOOKUP($A3,Shepherd!$A$40:$G$45,4,FALSE))</f>
        <v>NYY</v>
      </c>
      <c r="S3" s="99" t="str">
        <f>IF(VLOOKUP($A3,Shepherd!$A$40:$G$45,5,FALSE)=0,"",VLOOKUP($A3,Shepherd!$A$40:$G$45,5,FALSE))</f>
        <v>A15</v>
      </c>
      <c r="T3" s="100">
        <f>IF(VLOOKUP($A3,Shepherd!$A$40:$G$45,6,FALSE)=0,"",VLOOKUP($A3,Shepherd!$A$40:$G$45,6,FALSE))</f>
        <v>1.7</v>
      </c>
      <c r="U3" s="101">
        <f>IF(VLOOKUP($A3,Shepherd!$A$40:$G$45,7,FALSE)=0,"",VLOOKUP($A3,Shepherd!$A$40:$G$45,7,FALSE))</f>
        <v>2019</v>
      </c>
    </row>
    <row r="4" spans="1:21" ht="12.75">
      <c r="A4" s="97">
        <v>3</v>
      </c>
      <c r="B4" s="98" t="str">
        <f>IF(VLOOKUP($A4,Adkisson!$A$40:$G$45,2,FALSE)=0,"",VLOOKUP($A4,Adkisson!$A$40:$G$45,2,FALSE))</f>
        <v>Winker, Jesse</v>
      </c>
      <c r="C4" s="99" t="str">
        <f>IF(VLOOKUP($A4,Adkisson!$A$40:$G$45,3,FALSE)=0,"",VLOOKUP($A4,Adkisson!$A$40:$G$45,3,FALSE))</f>
        <v>OF</v>
      </c>
      <c r="D4" s="99" t="str">
        <f>IF(VLOOKUP($A4,Adkisson!$A$40:$G$45,4,FALSE)=0,"",VLOOKUP($A4,Adkisson!$A$40:$G$45,4,FALSE))</f>
        <v>Cin</v>
      </c>
      <c r="E4" s="99" t="str">
        <f>IF(VLOOKUP($A4,Adkisson!$A$40:$G$45,5,FALSE)=0,"",VLOOKUP($A4,Adkisson!$A$40:$G$45,5,FALSE))</f>
        <v>A15</v>
      </c>
      <c r="F4" s="100">
        <f>IF(VLOOKUP($A4,Adkisson!$A$40:$G$45,6,FALSE)=0,"",VLOOKUP($A4,Adkisson!$A$40:$G$45,6,FALSE))</f>
        <v>7.35</v>
      </c>
      <c r="G4" s="101">
        <f>IF(VLOOKUP($A4,Adkisson!$A$40:$G$45,7,FALSE)=0,"",VLOOKUP($A4,Adkisson!$A$40:$G$45,7,FALSE))</f>
        <v>2019</v>
      </c>
      <c r="H4" s="97">
        <v>3</v>
      </c>
      <c r="I4" s="98" t="str">
        <f>IF(VLOOKUP($A4,Fernald!$A$40:$G$45,2,FALSE)=0,"",VLOOKUP($A4,Fernald!$A$40:$G$45,2,FALSE))</f>
        <v>Swihart, Blake</v>
      </c>
      <c r="J4" s="99" t="str">
        <f>IF(VLOOKUP($A4,Fernald!$A$40:$G$45,3,FALSE)=0,"",VLOOKUP($A4,Fernald!$A$40:$G$45,3,FALSE))</f>
        <v>C</v>
      </c>
      <c r="K4" s="99">
        <f>IF(VLOOKUP($A4,Fernald!$A$40:$G$45,4,FALSE)=0,"",VLOOKUP($A4,Fernald!$A$40:$G$45,4,FALSE))</f>
      </c>
      <c r="L4" s="99" t="str">
        <f>IF(VLOOKUP($A4,Fernald!$A$40:$G$45,5,FALSE)=0,"",VLOOKUP($A4,Fernald!$A$40:$G$45,5,FALSE))</f>
        <v>A15</v>
      </c>
      <c r="M4" s="100">
        <f>IF(VLOOKUP($A4,Fernald!$A$40:$G$45,6,FALSE)=0,"",VLOOKUP($A4,Fernald!$A$40:$G$45,6,FALSE))</f>
        <v>11.95</v>
      </c>
      <c r="N4" s="101">
        <f>IF(VLOOKUP($A4,Fernald!$A$40:$G$45,7,FALSE)=0,"",VLOOKUP($A4,Fernald!$A$40:$G$45,7,FALSE))</f>
        <v>2019</v>
      </c>
      <c r="O4" s="97">
        <v>3</v>
      </c>
      <c r="P4" s="98" t="str">
        <f>IF(VLOOKUP($A4,Shepherd!$A$40:$G$45,2,FALSE)=0,"",VLOOKUP($A4,Shepherd!$A$40:$G$45,2,FALSE))</f>
        <v>Dominguez, Matt</v>
      </c>
      <c r="Q4" s="99" t="str">
        <f>IF(VLOOKUP($A4,Shepherd!$A$40:$G$45,3,FALSE)=0,"",VLOOKUP($A4,Shepherd!$A$40:$G$45,3,FALSE))</f>
        <v>3B</v>
      </c>
      <c r="R4" s="99" t="str">
        <f>IF(VLOOKUP($A4,Shepherd!$A$40:$G$45,4,FALSE)=0,"",VLOOKUP($A4,Shepherd!$A$40:$G$45,4,FALSE))</f>
        <v>Hou</v>
      </c>
      <c r="S4" s="99" t="str">
        <f>IF(VLOOKUP($A4,Shepherd!$A$40:$G$45,5,FALSE)=0,"",VLOOKUP($A4,Shepherd!$A$40:$G$45,5,FALSE))</f>
        <v>A14</v>
      </c>
      <c r="T4" s="100">
        <f>IF(VLOOKUP($A4,Shepherd!$A$40:$G$45,6,FALSE)=0,"",VLOOKUP($A4,Shepherd!$A$40:$G$45,6,FALSE))</f>
        <v>1.8</v>
      </c>
      <c r="U4" s="101">
        <f>IF(VLOOKUP($A4,Shepherd!$A$40:$G$45,7,FALSE)=0,"",VLOOKUP($A4,Shepherd!$A$40:$G$45,7,FALSE))</f>
        <v>2018</v>
      </c>
    </row>
    <row r="5" spans="1:21" ht="12.75">
      <c r="A5" s="97">
        <v>4</v>
      </c>
      <c r="B5" s="98" t="str">
        <f>IF(VLOOKUP($A5,Adkisson!$A$40:$G$45,2,FALSE)=0,"",VLOOKUP($A5,Adkisson!$A$40:$G$45,2,FALSE))</f>
        <v>Bradley, Archie</v>
      </c>
      <c r="C5" s="99" t="str">
        <f>IF(VLOOKUP($A5,Adkisson!$A$40:$G$45,3,FALSE)=0,"",VLOOKUP($A5,Adkisson!$A$40:$G$45,3,FALSE))</f>
        <v>SP</v>
      </c>
      <c r="D5" s="99" t="str">
        <f>IF(VLOOKUP($A5,Adkisson!$A$40:$G$45,4,FALSE)=0,"",VLOOKUP($A5,Adkisson!$A$40:$G$45,4,FALSE))</f>
        <v>Ari</v>
      </c>
      <c r="E5" s="99" t="str">
        <f>IF(VLOOKUP($A5,Adkisson!$A$40:$G$45,5,FALSE)=0,"",VLOOKUP($A5,Adkisson!$A$40:$G$45,5,FALSE))</f>
        <v>M13</v>
      </c>
      <c r="F5" s="100">
        <f>IF(VLOOKUP($A5,Adkisson!$A$40:$G$45,6,FALSE)=0,"",VLOOKUP($A5,Adkisson!$A$40:$G$45,6,FALSE))</f>
        <v>4.8</v>
      </c>
      <c r="G5" s="101">
        <f>IF(VLOOKUP($A5,Adkisson!$A$40:$G$45,7,FALSE)=0,"",VLOOKUP($A5,Adkisson!$A$40:$G$45,7,FALSE))</f>
        <v>2017</v>
      </c>
      <c r="H5" s="97">
        <v>4</v>
      </c>
      <c r="I5" s="98" t="str">
        <f>IF(VLOOKUP($A5,Fernald!$A$40:$G$45,2,FALSE)=0,"",VLOOKUP($A5,Fernald!$A$40:$G$45,2,FALSE))</f>
        <v>Urias, Julio</v>
      </c>
      <c r="J5" s="99" t="str">
        <f>IF(VLOOKUP($A5,Fernald!$A$40:$G$45,3,FALSE)=0,"",VLOOKUP($A5,Fernald!$A$40:$G$45,3,FALSE))</f>
        <v>SP</v>
      </c>
      <c r="K5" s="99">
        <f>IF(VLOOKUP($A5,Fernald!$A$40:$G$45,4,FALSE)=0,"",VLOOKUP($A5,Fernald!$A$40:$G$45,4,FALSE))</f>
      </c>
      <c r="L5" s="99" t="str">
        <f>IF(VLOOKUP($A5,Fernald!$A$40:$G$45,5,FALSE)=0,"",VLOOKUP($A5,Fernald!$A$40:$G$45,5,FALSE))</f>
        <v>A15</v>
      </c>
      <c r="M5" s="100">
        <f>IF(VLOOKUP($A5,Fernald!$A$40:$G$45,6,FALSE)=0,"",VLOOKUP($A5,Fernald!$A$40:$G$45,6,FALSE))</f>
        <v>9.95</v>
      </c>
      <c r="N5" s="101">
        <f>IF(VLOOKUP($A5,Fernald!$A$40:$G$45,7,FALSE)=0,"",VLOOKUP($A5,Fernald!$A$40:$G$45,7,FALSE))</f>
        <v>2019</v>
      </c>
      <c r="O5" s="97">
        <v>4</v>
      </c>
      <c r="P5" s="98" t="str">
        <f>IF(VLOOKUP($A5,Shepherd!$A$40:$G$45,2,FALSE)=0,"",VLOOKUP($A5,Shepherd!$A$40:$G$45,2,FALSE))</f>
        <v>Taillon, Jameson</v>
      </c>
      <c r="Q5" s="99" t="str">
        <f>IF(VLOOKUP($A5,Shepherd!$A$40:$G$45,3,FALSE)=0,"",VLOOKUP($A5,Shepherd!$A$40:$G$45,3,FALSE))</f>
        <v>SP</v>
      </c>
      <c r="R5" s="99" t="str">
        <f>IF(VLOOKUP($A5,Shepherd!$A$40:$G$45,4,FALSE)=0,"",VLOOKUP($A5,Shepherd!$A$40:$G$45,4,FALSE))</f>
        <v>Pit</v>
      </c>
      <c r="S5" s="99" t="str">
        <f>IF(VLOOKUP($A5,Shepherd!$A$40:$G$45,5,FALSE)=0,"",VLOOKUP($A5,Shepherd!$A$40:$G$45,5,FALSE))</f>
        <v>M12</v>
      </c>
      <c r="T5" s="100">
        <f>IF(VLOOKUP($A5,Shepherd!$A$40:$G$45,6,FALSE)=0,"",VLOOKUP($A5,Shepherd!$A$40:$G$45,6,FALSE))</f>
        <v>8.1</v>
      </c>
      <c r="U5" s="101">
        <f>IF(VLOOKUP($A5,Shepherd!$A$40:$G$45,7,FALSE)=0,"",VLOOKUP($A5,Shepherd!$A$40:$G$45,7,FALSE))</f>
        <v>2016</v>
      </c>
    </row>
    <row r="6" spans="1:21" ht="12.75">
      <c r="A6" s="97">
        <v>5</v>
      </c>
      <c r="B6" s="98" t="str">
        <f>IF(VLOOKUP($A6,Adkisson!$A$40:$G$45,2,FALSE)=0,"",VLOOKUP($A6,Adkisson!$A$40:$G$45,2,FALSE))</f>
        <v>Profar, Jurickson</v>
      </c>
      <c r="C6" s="99" t="str">
        <f>IF(VLOOKUP($A6,Adkisson!$A$40:$G$45,3,FALSE)=0,"",VLOOKUP($A6,Adkisson!$A$40:$G$45,3,FALSE))</f>
        <v>SS</v>
      </c>
      <c r="D6" s="99" t="str">
        <f>IF(VLOOKUP($A6,Adkisson!$A$40:$G$45,4,FALSE)=0,"",VLOOKUP($A6,Adkisson!$A$40:$G$45,4,FALSE))</f>
        <v>Tex</v>
      </c>
      <c r="E6" s="99" t="str">
        <f>IF(VLOOKUP($A6,Adkisson!$A$40:$G$45,5,FALSE)=0,"",VLOOKUP($A6,Adkisson!$A$40:$G$45,5,FALSE))</f>
        <v>M12</v>
      </c>
      <c r="F6" s="100">
        <f>IF(VLOOKUP($A6,Adkisson!$A$40:$G$45,6,FALSE)=0,"",VLOOKUP($A6,Adkisson!$A$40:$G$45,6,FALSE))</f>
        <v>9.1</v>
      </c>
      <c r="G6" s="101">
        <f>IF(VLOOKUP($A6,Adkisson!$A$40:$G$45,7,FALSE)=0,"",VLOOKUP($A6,Adkisson!$A$40:$G$45,7,FALSE))</f>
        <v>2016</v>
      </c>
      <c r="H6" s="97">
        <v>5</v>
      </c>
      <c r="I6" s="98" t="str">
        <f>IF(VLOOKUP($A6,Fernald!$A$40:$G$45,2,FALSE)=0,"",VLOOKUP($A6,Fernald!$A$40:$G$45,2,FALSE))</f>
        <v>Russell, Addison</v>
      </c>
      <c r="J6" s="99" t="str">
        <f>IF(VLOOKUP($A6,Fernald!$A$40:$G$45,3,FALSE)=0,"",VLOOKUP($A6,Fernald!$A$40:$G$45,3,FALSE))</f>
        <v>SS</v>
      </c>
      <c r="K6" s="99" t="str">
        <f>IF(VLOOKUP($A6,Fernald!$A$40:$G$45,4,FALSE)=0,"",VLOOKUP($A6,Fernald!$A$40:$G$45,4,FALSE))</f>
        <v>Oak</v>
      </c>
      <c r="L6" s="99" t="str">
        <f>IF(VLOOKUP($A6,Fernald!$A$40:$G$45,5,FALSE)=0,"",VLOOKUP($A6,Fernald!$A$40:$G$45,5,FALSE))</f>
        <v>M14</v>
      </c>
      <c r="M6" s="100">
        <f>IF(VLOOKUP($A6,Fernald!$A$40:$G$45,6,FALSE)=0,"",VLOOKUP($A6,Fernald!$A$40:$G$45,6,FALSE))</f>
        <v>7.3</v>
      </c>
      <c r="N6" s="101">
        <f>IF(VLOOKUP($A6,Fernald!$A$40:$G$45,7,FALSE)=0,"",VLOOKUP($A6,Fernald!$A$40:$G$45,7,FALSE))</f>
        <v>2018</v>
      </c>
      <c r="O6" s="97">
        <v>5</v>
      </c>
      <c r="P6" s="98" t="str">
        <f>IF(VLOOKUP($A6,Shepherd!$A$40:$G$45,2,FALSE)=0,"",VLOOKUP($A6,Shepherd!$A$40:$G$45,2,FALSE))</f>
        <v>Giavotella, Johnny</v>
      </c>
      <c r="Q6" s="99" t="str">
        <f>IF(VLOOKUP($A6,Shepherd!$A$40:$G$45,3,FALSE)=0,"",VLOOKUP($A6,Shepherd!$A$40:$G$45,3,FALSE))</f>
        <v>2B</v>
      </c>
      <c r="R6" s="99" t="str">
        <f>IF(VLOOKUP($A6,Shepherd!$A$40:$G$45,4,FALSE)=0,"",VLOOKUP($A6,Shepherd!$A$40:$G$45,4,FALSE))</f>
        <v>KC</v>
      </c>
      <c r="S6" s="99" t="str">
        <f>IF(VLOOKUP($A6,Shepherd!$A$40:$G$45,5,FALSE)=0,"",VLOOKUP($A6,Shepherd!$A$40:$G$45,5,FALSE))</f>
        <v>M12</v>
      </c>
      <c r="T6" s="100">
        <f>IF(VLOOKUP($A6,Shepherd!$A$40:$G$45,6,FALSE)=0,"",VLOOKUP($A6,Shepherd!$A$40:$G$45,6,FALSE))</f>
        <v>1.3</v>
      </c>
      <c r="U6" s="101">
        <f>IF(VLOOKUP($A6,Shepherd!$A$40:$G$45,7,FALSE)=0,"",VLOOKUP($A6,Shepherd!$A$40:$G$45,7,FALSE))</f>
        <v>2016</v>
      </c>
    </row>
    <row r="7" spans="1:21" ht="13.5" thickBot="1">
      <c r="A7" s="102">
        <v>6</v>
      </c>
      <c r="B7" s="103">
        <f>IF(VLOOKUP($A7,Adkisson!$A$40:$G$45,2,FALSE)=0,"",VLOOKUP($A7,Adkisson!$A$40:$G$45,2,FALSE))</f>
      </c>
      <c r="C7" s="104">
        <f>IF(VLOOKUP($A7,Adkisson!$A$40:$G$45,3,FALSE)=0,"",VLOOKUP($A7,Adkisson!$A$40:$G$45,3,FALSE))</f>
      </c>
      <c r="D7" s="104">
        <f>IF(VLOOKUP($A7,Adkisson!$A$40:$G$45,4,FALSE)=0,"",VLOOKUP($A7,Adkisson!$A$40:$G$45,4,FALSE))</f>
      </c>
      <c r="E7" s="104">
        <f>IF(VLOOKUP($A7,Adkisson!$A$40:$G$45,5,FALSE)=0,"",VLOOKUP($A7,Adkisson!$A$40:$G$45,5,FALSE))</f>
      </c>
      <c r="F7" s="105">
        <f>IF(VLOOKUP($A7,Adkisson!$A$40:$G$45,6,FALSE)=0,"",VLOOKUP($A7,Adkisson!$A$40:$G$45,6,FALSE))</f>
      </c>
      <c r="G7" s="106">
        <f>IF(VLOOKUP($A7,Adkisson!$A$40:$G$45,7,FALSE)=0,"",VLOOKUP($A7,Adkisson!$A$40:$G$45,7,FALSE))</f>
      </c>
      <c r="H7" s="102">
        <v>6</v>
      </c>
      <c r="I7" s="103" t="str">
        <f>IF(VLOOKUP($A7,Fernald!$A$40:$G$45,2,FALSE)=0,"",VLOOKUP($A7,Fernald!$A$40:$G$45,2,FALSE))</f>
        <v>Lindor, Francisco</v>
      </c>
      <c r="J7" s="104" t="str">
        <f>IF(VLOOKUP($A7,Fernald!$A$40:$G$45,3,FALSE)=0,"",VLOOKUP($A7,Fernald!$A$40:$G$45,3,FALSE))</f>
        <v>SS</v>
      </c>
      <c r="K7" s="104" t="str">
        <f>IF(VLOOKUP($A7,Fernald!$A$40:$G$45,4,FALSE)=0,"",VLOOKUP($A7,Fernald!$A$40:$G$45,4,FALSE))</f>
        <v>Cle</v>
      </c>
      <c r="L7" s="104" t="str">
        <f>IF(VLOOKUP($A7,Fernald!$A$40:$G$45,5,FALSE)=0,"",VLOOKUP($A7,Fernald!$A$40:$G$45,5,FALSE))</f>
        <v>M13</v>
      </c>
      <c r="M7" s="105">
        <f>IF(VLOOKUP($A7,Fernald!$A$40:$G$45,6,FALSE)=0,"",VLOOKUP($A7,Fernald!$A$40:$G$45,6,FALSE))</f>
        <v>4.95</v>
      </c>
      <c r="N7" s="106">
        <f>IF(VLOOKUP($A7,Fernald!$A$40:$G$45,7,FALSE)=0,"",VLOOKUP($A7,Fernald!$A$40:$G$45,7,FALSE))</f>
        <v>2017</v>
      </c>
      <c r="O7" s="102">
        <v>6</v>
      </c>
      <c r="P7" s="103" t="str">
        <f>IF(VLOOKUP($A7,Shepherd!$A$40:$G$45,2,FALSE)=0,"",VLOOKUP($A7,Shepherd!$A$40:$G$45,2,FALSE))</f>
        <v>Banuelos, Manny</v>
      </c>
      <c r="Q7" s="104" t="str">
        <f>IF(VLOOKUP($A7,Shepherd!$A$40:$G$45,3,FALSE)=0,"",VLOOKUP($A7,Shepherd!$A$40:$G$45,3,FALSE))</f>
        <v>SP</v>
      </c>
      <c r="R7" s="104" t="str">
        <f>IF(VLOOKUP($A7,Shepherd!$A$40:$G$45,4,FALSE)=0,"",VLOOKUP($A7,Shepherd!$A$40:$G$45,4,FALSE))</f>
        <v>NYY</v>
      </c>
      <c r="S7" s="104" t="str">
        <f>IF(VLOOKUP($A7,Shepherd!$A$40:$G$45,5,FALSE)=0,"",VLOOKUP($A7,Shepherd!$A$40:$G$45,5,FALSE))</f>
        <v>M12</v>
      </c>
      <c r="T7" s="105">
        <f>IF(VLOOKUP($A7,Shepherd!$A$40:$G$45,6,FALSE)=0,"",VLOOKUP($A7,Shepherd!$A$40:$G$45,6,FALSE))</f>
        <v>6.25</v>
      </c>
      <c r="U7" s="106">
        <f>IF(VLOOKUP($A7,Shepherd!$A$40:$G$45,7,FALSE)=0,"",VLOOKUP($A7,Shepherd!$A$40:$G$45,7,FALSE))</f>
        <v>2016</v>
      </c>
    </row>
    <row r="8" spans="1:21" ht="12.75">
      <c r="A8" s="135" t="s">
        <v>466</v>
      </c>
      <c r="B8" s="136"/>
      <c r="C8" s="136"/>
      <c r="D8" s="136"/>
      <c r="E8" s="136"/>
      <c r="F8" s="136"/>
      <c r="G8" s="137"/>
      <c r="H8" s="135" t="s">
        <v>472</v>
      </c>
      <c r="I8" s="136"/>
      <c r="J8" s="136"/>
      <c r="K8" s="136"/>
      <c r="L8" s="136"/>
      <c r="M8" s="136"/>
      <c r="N8" s="137"/>
      <c r="O8" s="135" t="s">
        <v>477</v>
      </c>
      <c r="P8" s="136"/>
      <c r="Q8" s="136"/>
      <c r="R8" s="136"/>
      <c r="S8" s="136"/>
      <c r="T8" s="136"/>
      <c r="U8" s="137"/>
    </row>
    <row r="9" spans="1:21" ht="12.75">
      <c r="A9" s="97">
        <v>1</v>
      </c>
      <c r="B9" s="98" t="str">
        <f>IF(VLOOKUP($A9,Barton!$A$40:$G$45,2,FALSE)=0,"",VLOOKUP($A9,Barton!$A$40:$G$45,2,FALSE))</f>
        <v>Carp, Mike</v>
      </c>
      <c r="C9" s="99" t="str">
        <f>IF(VLOOKUP($A9,Barton!$A$40:$G$45,3,FALSE)=0,"",VLOOKUP($A9,Barton!$A$40:$G$45,3,FALSE))</f>
        <v>1B</v>
      </c>
      <c r="D9" s="99" t="str">
        <f>IF(VLOOKUP($A9,Barton!$A$40:$G$45,4,FALSE)=0,"",VLOOKUP($A9,Barton!$A$40:$G$45,4,FALSE))</f>
        <v>Was</v>
      </c>
      <c r="E9" s="99" t="str">
        <f>IF(VLOOKUP($A9,Barton!$A$40:$G$45,5,FALSE)=0,"",VLOOKUP($A9,Barton!$A$40:$G$45,5,FALSE))</f>
        <v>A12</v>
      </c>
      <c r="F9" s="100">
        <f>IF(VLOOKUP($A9,Barton!$A$40:$G$45,6,FALSE)=0,"",VLOOKUP($A9,Barton!$A$40:$G$45,6,FALSE))</f>
        <v>1.3</v>
      </c>
      <c r="G9" s="101">
        <f>IF(VLOOKUP($A9,Barton!$A$40:$G$45,7,FALSE)=0,"",VLOOKUP($A9,Barton!$A$40:$G$45,7,FALSE))</f>
        <v>2016</v>
      </c>
      <c r="H9" s="97">
        <v>1</v>
      </c>
      <c r="I9" s="98" t="str">
        <f>IF(VLOOKUP($A9,Jagot!$A$40:$G$45,2,FALSE)=0,"",VLOOKUP($A9,Jagot!$A$40:$G$45,2,FALSE))</f>
        <v>Salazar, Danny</v>
      </c>
      <c r="J9" s="99" t="str">
        <f>IF(VLOOKUP($A9,Jagot!$A$40:$G$45,3,FALSE)=0,"",VLOOKUP($A9,Jagot!$A$40:$G$45,3,FALSE))</f>
        <v>SP</v>
      </c>
      <c r="K9" s="99" t="str">
        <f>IF(VLOOKUP($A9,Jagot!$A$40:$G$45,4,FALSE)=0,"",VLOOKUP($A9,Jagot!$A$40:$G$45,4,FALSE))</f>
        <v>Cle</v>
      </c>
      <c r="L9" s="99" t="str">
        <f>IF(VLOOKUP($A9,Jagot!$A$40:$G$45,5,FALSE)=0,"",VLOOKUP($A9,Jagot!$A$40:$G$45,5,FALSE))</f>
        <v>A14</v>
      </c>
      <c r="M9" s="100">
        <f>IF(VLOOKUP($A9,Jagot!$A$40:$G$45,6,FALSE)=0,"",VLOOKUP($A9,Jagot!$A$40:$G$45,6,FALSE))</f>
        <v>13.9</v>
      </c>
      <c r="N9" s="101">
        <f>IF(VLOOKUP($A9,Jagot!$A$40:$G$45,7,FALSE)=0,"",VLOOKUP($A9,Jagot!$A$40:$G$45,7,FALSE))</f>
        <v>2018</v>
      </c>
      <c r="O9" s="97">
        <v>1</v>
      </c>
      <c r="P9" s="98" t="str">
        <f>IF(VLOOKUP($A9,Uberoi!$A$40:$G$45,2,FALSE)=0,"",VLOOKUP($A9,Uberoi!$A$40:$G$45,2,FALSE))</f>
        <v>Gray, Jonathan</v>
      </c>
      <c r="Q9" s="99" t="str">
        <f>IF(VLOOKUP($A9,Uberoi!$A$40:$G$45,3,FALSE)=0,"",VLOOKUP($A9,Uberoi!$A$40:$G$45,3,FALSE))</f>
        <v>SP</v>
      </c>
      <c r="R9" s="99" t="str">
        <f>IF(VLOOKUP($A9,Uberoi!$A$40:$G$45,4,FALSE)=0,"",VLOOKUP($A9,Uberoi!$A$40:$G$45,4,FALSE))</f>
        <v>Col</v>
      </c>
      <c r="S9" s="99" t="str">
        <f>IF(VLOOKUP($A9,Uberoi!$A$40:$G$45,5,FALSE)=0,"",VLOOKUP($A9,Uberoi!$A$40:$G$45,5,FALSE))</f>
        <v>M14</v>
      </c>
      <c r="T9" s="100">
        <f>IF(VLOOKUP($A9,Uberoi!$A$40:$G$45,6,FALSE)=0,"",VLOOKUP($A9,Uberoi!$A$40:$G$45,6,FALSE))</f>
        <v>7.75</v>
      </c>
      <c r="U9" s="101">
        <f>IF(VLOOKUP($A9,Uberoi!$A$40:$G$45,7,FALSE)=0,"",VLOOKUP($A9,Uberoi!$A$40:$G$45,7,FALSE))</f>
        <v>2018</v>
      </c>
    </row>
    <row r="10" spans="1:21" ht="12.75">
      <c r="A10" s="97">
        <v>2</v>
      </c>
      <c r="B10" s="98">
        <f>IF(VLOOKUP($A10,Barton!$A$40:$G$45,2,FALSE)=0,"",VLOOKUP($A10,Barton!$A$40:$G$45,2,FALSE))</f>
      </c>
      <c r="C10" s="99">
        <f>IF(VLOOKUP($A10,Barton!$A$40:$G$45,3,FALSE)=0,"",VLOOKUP($A10,Barton!$A$40:$G$45,3,FALSE))</f>
      </c>
      <c r="D10" s="99">
        <f>IF(VLOOKUP($A10,Barton!$A$40:$G$45,4,FALSE)=0,"",VLOOKUP($A10,Barton!$A$40:$G$45,4,FALSE))</f>
      </c>
      <c r="E10" s="99">
        <f>IF(VLOOKUP($A10,Barton!$A$40:$G$45,5,FALSE)=0,"",VLOOKUP($A10,Barton!$A$40:$G$45,5,FALSE))</f>
      </c>
      <c r="F10" s="100">
        <f>IF(VLOOKUP($A10,Barton!$A$40:$G$45,6,FALSE)=0,"",VLOOKUP($A10,Barton!$A$40:$G$45,6,FALSE))</f>
      </c>
      <c r="G10" s="101">
        <f>IF(VLOOKUP($A10,Barton!$A$40:$G$45,7,FALSE)=0,"",VLOOKUP($A10,Barton!$A$40:$G$45,7,FALSE))</f>
      </c>
      <c r="H10" s="97">
        <v>2</v>
      </c>
      <c r="I10" s="98" t="str">
        <f>IF(VLOOKUP($A10,Jagot!$A$40:$G$45,2,FALSE)=0,"",VLOOKUP($A10,Jagot!$A$40:$G$45,2,FALSE))</f>
        <v>Buxton, Byron</v>
      </c>
      <c r="J10" s="99" t="str">
        <f>IF(VLOOKUP($A10,Jagot!$A$40:$G$45,3,FALSE)=0,"",VLOOKUP($A10,Jagot!$A$40:$G$45,3,FALSE))</f>
        <v>OF</v>
      </c>
      <c r="K10" s="99" t="str">
        <f>IF(VLOOKUP($A10,Jagot!$A$40:$G$45,4,FALSE)=0,"",VLOOKUP($A10,Jagot!$A$40:$G$45,4,FALSE))</f>
        <v>Min</v>
      </c>
      <c r="L10" s="99" t="str">
        <f>IF(VLOOKUP($A10,Jagot!$A$40:$G$45,5,FALSE)=0,"",VLOOKUP($A10,Jagot!$A$40:$G$45,5,FALSE))</f>
        <v>M14</v>
      </c>
      <c r="M10" s="100">
        <f>IF(VLOOKUP($A10,Jagot!$A$40:$G$45,6,FALSE)=0,"",VLOOKUP($A10,Jagot!$A$40:$G$45,6,FALSE))</f>
        <v>11</v>
      </c>
      <c r="N10" s="101">
        <f>IF(VLOOKUP($A10,Jagot!$A$40:$G$45,7,FALSE)=0,"",VLOOKUP($A10,Jagot!$A$40:$G$45,7,FALSE))</f>
        <v>2018</v>
      </c>
      <c r="O10" s="97">
        <v>2</v>
      </c>
      <c r="P10" s="98" t="str">
        <f>IF(VLOOKUP($A10,Uberoi!$A$40:$G$45,2,FALSE)=0,"",VLOOKUP($A10,Uberoi!$A$40:$G$45,2,FALSE))</f>
        <v>Tavares, Oscar</v>
      </c>
      <c r="Q10" s="99" t="str">
        <f>IF(VLOOKUP($A10,Uberoi!$A$40:$G$45,3,FALSE)=0,"",VLOOKUP($A10,Uberoi!$A$40:$G$45,3,FALSE))</f>
        <v>OF</v>
      </c>
      <c r="R10" s="99" t="str">
        <f>IF(VLOOKUP($A10,Uberoi!$A$40:$G$45,4,FALSE)=0,"",VLOOKUP($A10,Uberoi!$A$40:$G$45,4,FALSE))</f>
        <v>Stl</v>
      </c>
      <c r="S10" s="99" t="str">
        <f>IF(VLOOKUP($A10,Uberoi!$A$40:$G$45,5,FALSE)=0,"",VLOOKUP($A10,Uberoi!$A$40:$G$45,5,FALSE))</f>
        <v>M13</v>
      </c>
      <c r="T10" s="100">
        <f>IF(VLOOKUP($A10,Uberoi!$A$40:$G$45,6,FALSE)=0,"",VLOOKUP($A10,Uberoi!$A$40:$G$45,6,FALSE))</f>
        <v>12.8</v>
      </c>
      <c r="U10" s="101">
        <f>IF(VLOOKUP($A10,Uberoi!$A$40:$G$45,7,FALSE)=0,"",VLOOKUP($A10,Uberoi!$A$40:$G$45,7,FALSE))</f>
        <v>2017</v>
      </c>
    </row>
    <row r="11" spans="1:21" ht="12.75">
      <c r="A11" s="97">
        <v>3</v>
      </c>
      <c r="B11" s="98">
        <f>IF(VLOOKUP($A11,Barton!$A$40:$G$45,2,FALSE)=0,"",VLOOKUP($A11,Barton!$A$40:$G$45,2,FALSE))</f>
      </c>
      <c r="C11" s="99">
        <f>IF(VLOOKUP($A11,Barton!$A$40:$G$45,3,FALSE)=0,"",VLOOKUP($A11,Barton!$A$40:$G$45,3,FALSE))</f>
      </c>
      <c r="D11" s="99">
        <f>IF(VLOOKUP($A11,Barton!$A$40:$G$45,4,FALSE)=0,"",VLOOKUP($A11,Barton!$A$40:$G$45,4,FALSE))</f>
      </c>
      <c r="E11" s="99">
        <f>IF(VLOOKUP($A11,Barton!$A$40:$G$45,5,FALSE)=0,"",VLOOKUP($A11,Barton!$A$40:$G$45,5,FALSE))</f>
      </c>
      <c r="F11" s="100">
        <f>IF(VLOOKUP($A11,Barton!$A$40:$G$45,6,FALSE)=0,"",VLOOKUP($A11,Barton!$A$40:$G$45,6,FALSE))</f>
      </c>
      <c r="G11" s="101">
        <f>IF(VLOOKUP($A11,Barton!$A$40:$G$45,7,FALSE)=0,"",VLOOKUP($A11,Barton!$A$40:$G$45,7,FALSE))</f>
      </c>
      <c r="H11" s="97">
        <v>3</v>
      </c>
      <c r="I11" s="98" t="str">
        <f>IF(VLOOKUP($A11,Jagot!$A$40:$G$45,2,FALSE)=0,"",VLOOKUP($A11,Jagot!$A$40:$G$45,2,FALSE))</f>
        <v>Appel, Mark</v>
      </c>
      <c r="J11" s="99" t="str">
        <f>IF(VLOOKUP($A11,Jagot!$A$40:$G$45,3,FALSE)=0,"",VLOOKUP($A11,Jagot!$A$40:$G$45,3,FALSE))</f>
        <v>SP</v>
      </c>
      <c r="K11" s="99" t="str">
        <f>IF(VLOOKUP($A11,Jagot!$A$40:$G$45,4,FALSE)=0,"",VLOOKUP($A11,Jagot!$A$40:$G$45,4,FALSE))</f>
        <v>Hou</v>
      </c>
      <c r="L11" s="99" t="str">
        <f>IF(VLOOKUP($A11,Jagot!$A$40:$G$45,5,FALSE)=0,"",VLOOKUP($A11,Jagot!$A$40:$G$45,5,FALSE))</f>
        <v>M14</v>
      </c>
      <c r="M11" s="100">
        <f>IF(VLOOKUP($A11,Jagot!$A$40:$G$45,6,FALSE)=0,"",VLOOKUP($A11,Jagot!$A$40:$G$45,6,FALSE))</f>
        <v>8.15</v>
      </c>
      <c r="N11" s="101">
        <f>IF(VLOOKUP($A11,Jagot!$A$40:$G$45,7,FALSE)=0,"",VLOOKUP($A11,Jagot!$A$40:$G$45,7,FALSE))</f>
        <v>2018</v>
      </c>
      <c r="O11" s="97">
        <v>3</v>
      </c>
      <c r="P11" s="98">
        <f>IF(VLOOKUP($A11,Uberoi!$A$40:$G$45,2,FALSE)=0,"",VLOOKUP($A11,Uberoi!$A$40:$G$45,2,FALSE))</f>
      </c>
      <c r="Q11" s="99">
        <f>IF(VLOOKUP($A11,Uberoi!$A$40:$G$45,3,FALSE)=0,"",VLOOKUP($A11,Uberoi!$A$40:$G$45,3,FALSE))</f>
      </c>
      <c r="R11" s="99">
        <f>IF(VLOOKUP($A11,Uberoi!$A$40:$G$45,4,FALSE)=0,"",VLOOKUP($A11,Uberoi!$A$40:$G$45,4,FALSE))</f>
      </c>
      <c r="S11" s="99">
        <f>IF(VLOOKUP($A11,Uberoi!$A$40:$G$45,5,FALSE)=0,"",VLOOKUP($A11,Uberoi!$A$40:$G$45,5,FALSE))</f>
      </c>
      <c r="T11" s="100">
        <f>IF(VLOOKUP($A11,Uberoi!$A$40:$G$45,6,FALSE)=0,"",VLOOKUP($A11,Uberoi!$A$40:$G$45,6,FALSE))</f>
      </c>
      <c r="U11" s="101">
        <f>IF(VLOOKUP($A11,Uberoi!$A$40:$G$45,7,FALSE)=0,"",VLOOKUP($A11,Uberoi!$A$40:$G$45,7,FALSE))</f>
      </c>
    </row>
    <row r="12" spans="1:21" ht="12.75">
      <c r="A12" s="97">
        <v>4</v>
      </c>
      <c r="B12" s="98">
        <f>IF(VLOOKUP($A12,Barton!$A$40:$G$45,2,FALSE)=0,"",VLOOKUP($A12,Barton!$A$40:$G$45,2,FALSE))</f>
      </c>
      <c r="C12" s="99">
        <f>IF(VLOOKUP($A12,Barton!$A$40:$G$45,3,FALSE)=0,"",VLOOKUP($A12,Barton!$A$40:$G$45,3,FALSE))</f>
      </c>
      <c r="D12" s="99">
        <f>IF(VLOOKUP($A12,Barton!$A$40:$G$45,4,FALSE)=0,"",VLOOKUP($A12,Barton!$A$40:$G$45,4,FALSE))</f>
      </c>
      <c r="E12" s="99">
        <f>IF(VLOOKUP($A12,Barton!$A$40:$G$45,5,FALSE)=0,"",VLOOKUP($A12,Barton!$A$40:$G$45,5,FALSE))</f>
      </c>
      <c r="F12" s="100">
        <f>IF(VLOOKUP($A12,Barton!$A$40:$G$45,6,FALSE)=0,"",VLOOKUP($A12,Barton!$A$40:$G$45,6,FALSE))</f>
      </c>
      <c r="G12" s="101">
        <f>IF(VLOOKUP($A12,Barton!$A$40:$G$45,7,FALSE)=0,"",VLOOKUP($A12,Barton!$A$40:$G$45,7,FALSE))</f>
      </c>
      <c r="H12" s="97">
        <v>4</v>
      </c>
      <c r="I12" s="98" t="str">
        <f>IF(VLOOKUP($A12,Jagot!$A$40:$G$45,2,FALSE)=0,"",VLOOKUP($A12,Jagot!$A$40:$G$45,2,FALSE))</f>
        <v>Brothers, Rex</v>
      </c>
      <c r="J12" s="99" t="str">
        <f>IF(VLOOKUP($A12,Jagot!$A$40:$G$45,3,FALSE)=0,"",VLOOKUP($A12,Jagot!$A$40:$G$45,3,FALSE))</f>
        <v>RP</v>
      </c>
      <c r="K12" s="99" t="str">
        <f>IF(VLOOKUP($A12,Jagot!$A$40:$G$45,4,FALSE)=0,"",VLOOKUP($A12,Jagot!$A$40:$G$45,4,FALSE))</f>
        <v>Col</v>
      </c>
      <c r="L12" s="99" t="str">
        <f>IF(VLOOKUP($A12,Jagot!$A$40:$G$45,5,FALSE)=0,"",VLOOKUP($A12,Jagot!$A$40:$G$45,5,FALSE))</f>
        <v>FA</v>
      </c>
      <c r="M12" s="100">
        <f>IF(VLOOKUP($A12,Jagot!$A$40:$G$45,6,FALSE)=0,"",VLOOKUP($A12,Jagot!$A$40:$G$45,6,FALSE))</f>
        <v>5.8</v>
      </c>
      <c r="N12" s="101">
        <f>IF(VLOOKUP($A12,Jagot!$A$40:$G$45,7,FALSE)=0,"",VLOOKUP($A12,Jagot!$A$40:$G$45,7,FALSE))</f>
        <v>2016</v>
      </c>
      <c r="O12" s="97">
        <v>4</v>
      </c>
      <c r="P12" s="98">
        <f>IF(VLOOKUP($A12,Uberoi!$A$40:$G$45,2,FALSE)=0,"",VLOOKUP($A12,Uberoi!$A$40:$G$45,2,FALSE))</f>
      </c>
      <c r="Q12" s="99">
        <f>IF(VLOOKUP($A12,Uberoi!$A$40:$G$45,3,FALSE)=0,"",VLOOKUP($A12,Uberoi!$A$40:$G$45,3,FALSE))</f>
      </c>
      <c r="R12" s="99">
        <f>IF(VLOOKUP($A12,Uberoi!$A$40:$G$45,4,FALSE)=0,"",VLOOKUP($A12,Uberoi!$A$40:$G$45,4,FALSE))</f>
      </c>
      <c r="S12" s="99">
        <f>IF(VLOOKUP($A12,Uberoi!$A$40:$G$45,5,FALSE)=0,"",VLOOKUP($A12,Uberoi!$A$40:$G$45,5,FALSE))</f>
      </c>
      <c r="T12" s="100">
        <f>IF(VLOOKUP($A12,Uberoi!$A$40:$G$45,6,FALSE)=0,"",VLOOKUP($A12,Uberoi!$A$40:$G$45,6,FALSE))</f>
      </c>
      <c r="U12" s="101">
        <f>IF(VLOOKUP($A12,Uberoi!$A$40:$G$45,7,FALSE)=0,"",VLOOKUP($A12,Uberoi!$A$40:$G$45,7,FALSE))</f>
      </c>
    </row>
    <row r="13" spans="1:21" ht="12.75">
      <c r="A13" s="97">
        <v>5</v>
      </c>
      <c r="B13" s="98">
        <f>IF(VLOOKUP($A13,Barton!$A$40:$G$45,2,FALSE)=0,"",VLOOKUP($A13,Barton!$A$40:$G$45,2,FALSE))</f>
      </c>
      <c r="C13" s="99">
        <f>IF(VLOOKUP($A13,Barton!$A$40:$G$45,3,FALSE)=0,"",VLOOKUP($A13,Barton!$A$40:$G$45,3,FALSE))</f>
      </c>
      <c r="D13" s="99">
        <f>IF(VLOOKUP($A13,Barton!$A$40:$G$45,4,FALSE)=0,"",VLOOKUP($A13,Barton!$A$40:$G$45,4,FALSE))</f>
      </c>
      <c r="E13" s="99">
        <f>IF(VLOOKUP($A13,Barton!$A$40:$G$45,5,FALSE)=0,"",VLOOKUP($A13,Barton!$A$40:$G$45,5,FALSE))</f>
      </c>
      <c r="F13" s="100">
        <f>IF(VLOOKUP($A13,Barton!$A$40:$G$45,6,FALSE)=0,"",VLOOKUP($A13,Barton!$A$40:$G$45,6,FALSE))</f>
      </c>
      <c r="G13" s="101">
        <f>IF(VLOOKUP($A13,Barton!$A$40:$G$45,7,FALSE)=0,"",VLOOKUP($A13,Barton!$A$40:$G$45,7,FALSE))</f>
      </c>
      <c r="H13" s="97">
        <v>5</v>
      </c>
      <c r="I13" s="98">
        <f>IF(VLOOKUP($A13,Jagot!$A$40:$G$45,2,FALSE)=0,"",VLOOKUP($A13,Jagot!$A$40:$G$45,2,FALSE))</f>
      </c>
      <c r="J13" s="99">
        <f>IF(VLOOKUP($A13,Jagot!$A$40:$G$45,3,FALSE)=0,"",VLOOKUP($A13,Jagot!$A$40:$G$45,3,FALSE))</f>
      </c>
      <c r="K13" s="99">
        <f>IF(VLOOKUP($A13,Jagot!$A$40:$G$45,4,FALSE)=0,"",VLOOKUP($A13,Jagot!$A$40:$G$45,4,FALSE))</f>
      </c>
      <c r="L13" s="99">
        <f>IF(VLOOKUP($A13,Jagot!$A$40:$G$45,5,FALSE)=0,"",VLOOKUP($A13,Jagot!$A$40:$G$45,5,FALSE))</f>
      </c>
      <c r="M13" s="100">
        <f>IF(VLOOKUP($A13,Jagot!$A$40:$G$45,6,FALSE)=0,"",VLOOKUP($A13,Jagot!$A$40:$G$45,6,FALSE))</f>
      </c>
      <c r="N13" s="101">
        <f>IF(VLOOKUP($A13,Jagot!$A$40:$G$45,7,FALSE)=0,"",VLOOKUP($A13,Jagot!$A$40:$G$45,7,FALSE))</f>
      </c>
      <c r="O13" s="97">
        <v>5</v>
      </c>
      <c r="P13" s="98">
        <f>IF(VLOOKUP($A13,Uberoi!$A$40:$G$45,2,FALSE)=0,"",VLOOKUP($A13,Uberoi!$A$40:$G$45,2,FALSE))</f>
      </c>
      <c r="Q13" s="99">
        <f>IF(VLOOKUP($A13,Uberoi!$A$40:$G$45,3,FALSE)=0,"",VLOOKUP($A13,Uberoi!$A$40:$G$45,3,FALSE))</f>
      </c>
      <c r="R13" s="99">
        <f>IF(VLOOKUP($A13,Uberoi!$A$40:$G$45,4,FALSE)=0,"",VLOOKUP($A13,Uberoi!$A$40:$G$45,4,FALSE))</f>
      </c>
      <c r="S13" s="99">
        <f>IF(VLOOKUP($A13,Uberoi!$A$40:$G$45,5,FALSE)=0,"",VLOOKUP($A13,Uberoi!$A$40:$G$45,5,FALSE))</f>
      </c>
      <c r="T13" s="100">
        <f>IF(VLOOKUP($A13,Uberoi!$A$40:$G$45,6,FALSE)=0,"",VLOOKUP($A13,Uberoi!$A$40:$G$45,6,FALSE))</f>
      </c>
      <c r="U13" s="101">
        <f>IF(VLOOKUP($A13,Uberoi!$A$40:$G$45,7,FALSE)=0,"",VLOOKUP($A13,Uberoi!$A$40:$G$45,7,FALSE))</f>
      </c>
    </row>
    <row r="14" spans="1:21" ht="13.5" thickBot="1">
      <c r="A14" s="102">
        <v>6</v>
      </c>
      <c r="B14" s="103">
        <f>IF(VLOOKUP($A14,Barton!$A$40:$G$45,2,FALSE)=0,"",VLOOKUP($A14,Barton!$A$40:$G$45,2,FALSE))</f>
      </c>
      <c r="C14" s="104">
        <f>IF(VLOOKUP($A14,Barton!$A$40:$G$45,3,FALSE)=0,"",VLOOKUP($A14,Barton!$A$40:$G$45,3,FALSE))</f>
      </c>
      <c r="D14" s="104">
        <f>IF(VLOOKUP($A14,Barton!$A$40:$G$45,4,FALSE)=0,"",VLOOKUP($A14,Barton!$A$40:$G$45,4,FALSE))</f>
      </c>
      <c r="E14" s="104">
        <f>IF(VLOOKUP($A14,Barton!$A$40:$G$45,5,FALSE)=0,"",VLOOKUP($A14,Barton!$A$40:$G$45,5,FALSE))</f>
      </c>
      <c r="F14" s="105">
        <f>IF(VLOOKUP($A14,Barton!$A$40:$G$45,6,FALSE)=0,"",VLOOKUP($A14,Barton!$A$40:$G$45,6,FALSE))</f>
      </c>
      <c r="G14" s="106">
        <f>IF(VLOOKUP($A14,Barton!$A$40:$G$45,7,FALSE)=0,"",VLOOKUP($A14,Barton!$A$40:$G$45,7,FALSE))</f>
      </c>
      <c r="H14" s="102">
        <v>6</v>
      </c>
      <c r="I14" s="103">
        <f>IF(VLOOKUP($A14,Jagot!$A$40:$G$45,2,FALSE)=0,"",VLOOKUP($A14,Jagot!$A$40:$G$45,2,FALSE))</f>
      </c>
      <c r="J14" s="104">
        <f>IF(VLOOKUP($A14,Jagot!$A$40:$G$45,3,FALSE)=0,"",VLOOKUP($A14,Jagot!$A$40:$G$45,3,FALSE))</f>
      </c>
      <c r="K14" s="104">
        <f>IF(VLOOKUP($A14,Jagot!$A$40:$G$45,4,FALSE)=0,"",VLOOKUP($A14,Jagot!$A$40:$G$45,4,FALSE))</f>
      </c>
      <c r="L14" s="104">
        <f>IF(VLOOKUP($A14,Jagot!$A$40:$G$45,5,FALSE)=0,"",VLOOKUP($A14,Jagot!$A$40:$G$45,5,FALSE))</f>
      </c>
      <c r="M14" s="105">
        <f>IF(VLOOKUP($A14,Jagot!$A$40:$G$45,6,FALSE)=0,"",VLOOKUP($A14,Jagot!$A$40:$G$45,6,FALSE))</f>
      </c>
      <c r="N14" s="106">
        <f>IF(VLOOKUP($A14,Jagot!$A$40:$G$45,7,FALSE)=0,"",VLOOKUP($A14,Jagot!$A$40:$G$45,7,FALSE))</f>
      </c>
      <c r="O14" s="102">
        <v>6</v>
      </c>
      <c r="P14" s="103">
        <f>IF(VLOOKUP($A14,Uberoi!$A$40:$G$45,2,FALSE)=0,"",VLOOKUP($A14,Uberoi!$A$40:$G$45,2,FALSE))</f>
      </c>
      <c r="Q14" s="104">
        <f>IF(VLOOKUP($A14,Uberoi!$A$40:$G$45,3,FALSE)=0,"",VLOOKUP($A14,Uberoi!$A$40:$G$45,3,FALSE))</f>
      </c>
      <c r="R14" s="104">
        <f>IF(VLOOKUP($A14,Uberoi!$A$40:$G$45,4,FALSE)=0,"",VLOOKUP($A14,Uberoi!$A$40:$G$45,4,FALSE))</f>
      </c>
      <c r="S14" s="104">
        <f>IF(VLOOKUP($A14,Uberoi!$A$40:$G$45,5,FALSE)=0,"",VLOOKUP($A14,Uberoi!$A$40:$G$45,5,FALSE))</f>
      </c>
      <c r="T14" s="105">
        <f>IF(VLOOKUP($A14,Uberoi!$A$40:$G$45,6,FALSE)=0,"",VLOOKUP($A14,Uberoi!$A$40:$G$45,6,FALSE))</f>
      </c>
      <c r="U14" s="106">
        <f>IF(VLOOKUP($A14,Uberoi!$A$40:$G$45,7,FALSE)=0,"",VLOOKUP($A14,Uberoi!$A$40:$G$45,7,FALSE))</f>
      </c>
    </row>
    <row r="15" spans="1:21" ht="12.75">
      <c r="A15" s="135" t="s">
        <v>467</v>
      </c>
      <c r="B15" s="136"/>
      <c r="C15" s="136"/>
      <c r="D15" s="136"/>
      <c r="E15" s="136"/>
      <c r="F15" s="136"/>
      <c r="G15" s="137"/>
      <c r="H15" s="135" t="s">
        <v>473</v>
      </c>
      <c r="I15" s="136"/>
      <c r="J15" s="136"/>
      <c r="K15" s="136"/>
      <c r="L15" s="136"/>
      <c r="M15" s="136"/>
      <c r="N15" s="137"/>
      <c r="O15" s="135" t="s">
        <v>478</v>
      </c>
      <c r="P15" s="136"/>
      <c r="Q15" s="136"/>
      <c r="R15" s="136"/>
      <c r="S15" s="136"/>
      <c r="T15" s="136"/>
      <c r="U15" s="137"/>
    </row>
    <row r="16" spans="1:21" ht="12.75">
      <c r="A16" s="97">
        <v>1</v>
      </c>
      <c r="B16" s="98" t="str">
        <f>IF(VLOOKUP($A16,Biegler!$A$40:$G$45,2,FALSE)=0,"",VLOOKUP($A16,Biegler!$A$40:$G$45,2,FALSE))</f>
        <v>Heaney, Andrew</v>
      </c>
      <c r="C16" s="99" t="str">
        <f>IF(VLOOKUP($A16,Biegler!$A$40:$G$45,3,FALSE)=0,"",VLOOKUP($A16,Biegler!$A$40:$G$45,3,FALSE))</f>
        <v>SP</v>
      </c>
      <c r="D16" s="99" t="str">
        <f>IF(VLOOKUP($A16,Biegler!$A$40:$G$45,4,FALSE)=0,"",VLOOKUP($A16,Biegler!$A$40:$G$45,4,FALSE))</f>
        <v>Mia</v>
      </c>
      <c r="E16" s="99" t="str">
        <f>IF(VLOOKUP($A16,Biegler!$A$40:$G$45,5,FALSE)=0,"",VLOOKUP($A16,Biegler!$A$40:$G$45,5,FALSE))</f>
        <v>M14</v>
      </c>
      <c r="F16" s="100">
        <f>IF(VLOOKUP($A16,Biegler!$A$40:$G$45,6,FALSE)=0,"",VLOOKUP($A16,Biegler!$A$40:$G$45,6,FALSE))</f>
        <v>4.75</v>
      </c>
      <c r="G16" s="101">
        <f>IF(VLOOKUP($A16,Biegler!$A$40:$G$45,7,FALSE)=0,"",VLOOKUP($A16,Biegler!$A$40:$G$45,7,FALSE))</f>
        <v>2018</v>
      </c>
      <c r="H16" s="97">
        <v>1</v>
      </c>
      <c r="I16" s="98" t="str">
        <f>IF(VLOOKUP($A16,Konsul!$A$40:$G$45,2,FALSE)=0,"",VLOOKUP($A16,Konsul!$A$40:$G$45,2,FALSE))</f>
        <v>Crawford, J.P.</v>
      </c>
      <c r="J16" s="99" t="str">
        <f>IF(VLOOKUP($A16,Konsul!$A$40:$G$45,3,FALSE)=0,"",VLOOKUP($A16,Konsul!$A$40:$G$45,3,FALSE))</f>
        <v>SS</v>
      </c>
      <c r="K16" s="99" t="str">
        <f>IF(VLOOKUP($A16,Konsul!$A$40:$G$45,4,FALSE)=0,"",VLOOKUP($A16,Konsul!$A$40:$G$45,4,FALSE))</f>
        <v>Phi</v>
      </c>
      <c r="L16" s="99" t="str">
        <f>IF(VLOOKUP($A16,Konsul!$A$40:$G$45,5,FALSE)=0,"",VLOOKUP($A16,Konsul!$A$40:$G$45,5,FALSE))</f>
        <v>A15</v>
      </c>
      <c r="M16" s="100">
        <f>IF(VLOOKUP($A16,Konsul!$A$40:$G$45,6,FALSE)=0,"",VLOOKUP($A16,Konsul!$A$40:$G$45,6,FALSE))</f>
        <v>9.5</v>
      </c>
      <c r="N16" s="101">
        <f>IF(VLOOKUP($A16,Konsul!$A$40:$G$45,7,FALSE)=0,"",VLOOKUP($A16,Konsul!$A$40:$G$45,7,FALSE))</f>
        <v>2019</v>
      </c>
      <c r="O16" s="97">
        <v>1</v>
      </c>
      <c r="P16" s="98" t="str">
        <f>IF(VLOOKUP($A16,Wilt!$A$40:$G$45,2,FALSE)=0,"",VLOOKUP($A16,Wilt!$A$40:$G$45,2,FALSE))</f>
        <v>Bell, Josh</v>
      </c>
      <c r="Q16" s="99" t="str">
        <f>IF(VLOOKUP($A16,Wilt!$A$40:$G$45,3,FALSE)=0,"",VLOOKUP($A16,Wilt!$A$40:$G$45,3,FALSE))</f>
        <v>1B</v>
      </c>
      <c r="R16" s="99" t="str">
        <f>IF(VLOOKUP($A16,Wilt!$A$40:$G$45,4,FALSE)=0,"",VLOOKUP($A16,Wilt!$A$40:$G$45,4,FALSE))</f>
        <v>Pit</v>
      </c>
      <c r="S16" s="99" t="str">
        <f>IF(VLOOKUP($A16,Wilt!$A$40:$G$45,5,FALSE)=0,"",VLOOKUP($A16,Wilt!$A$40:$G$45,5,FALSE))</f>
        <v>A15</v>
      </c>
      <c r="T16" s="100">
        <f>IF(VLOOKUP($A16,Wilt!$A$40:$G$45,6,FALSE)=0,"",VLOOKUP($A16,Wilt!$A$40:$G$45,6,FALSE))</f>
        <v>7</v>
      </c>
      <c r="U16" s="101">
        <f>IF(VLOOKUP($A16,Wilt!$A$40:$G$45,7,FALSE)=0,"",VLOOKUP($A16,Wilt!$A$40:$G$45,7,FALSE))</f>
        <v>2015</v>
      </c>
    </row>
    <row r="17" spans="1:21" ht="12.75">
      <c r="A17" s="97">
        <v>2</v>
      </c>
      <c r="B17" s="98" t="str">
        <f>IF(VLOOKUP($A17,Biegler!$A$40:$G$45,2,FALSE)=0,"",VLOOKUP($A17,Biegler!$A$40:$G$45,2,FALSE))</f>
        <v>Seager, Corey</v>
      </c>
      <c r="C17" s="99" t="str">
        <f>IF(VLOOKUP($A17,Biegler!$A$40:$G$45,3,FALSE)=0,"",VLOOKUP($A17,Biegler!$A$40:$G$45,3,FALSE))</f>
        <v>SS</v>
      </c>
      <c r="D17" s="99" t="str">
        <f>IF(VLOOKUP($A17,Biegler!$A$40:$G$45,4,FALSE)=0,"",VLOOKUP($A17,Biegler!$A$40:$G$45,4,FALSE))</f>
        <v>LAD</v>
      </c>
      <c r="E17" s="99" t="str">
        <f>IF(VLOOKUP($A17,Biegler!$A$40:$G$45,5,FALSE)=0,"",VLOOKUP($A17,Biegler!$A$40:$G$45,5,FALSE))</f>
        <v>M14</v>
      </c>
      <c r="F17" s="100">
        <f>IF(VLOOKUP($A17,Biegler!$A$40:$G$45,6,FALSE)=0,"",VLOOKUP($A17,Biegler!$A$40:$G$45,6,FALSE))</f>
        <v>6.25</v>
      </c>
      <c r="G17" s="101">
        <f>IF(VLOOKUP($A17,Biegler!$A$40:$G$45,7,FALSE)=0,"",VLOOKUP($A17,Biegler!$A$40:$G$45,7,FALSE))</f>
        <v>2018</v>
      </c>
      <c r="H17" s="97">
        <v>2</v>
      </c>
      <c r="I17" s="98" t="str">
        <f>IF(VLOOKUP($A17,Konsul!$A$40:$G$45,2,FALSE)=0,"",VLOOKUP($A17,Konsul!$A$40:$G$45,2,FALSE))</f>
        <v>Castillo, Rusney</v>
      </c>
      <c r="J17" s="99" t="str">
        <f>IF(VLOOKUP($A17,Konsul!$A$40:$G$45,3,FALSE)=0,"",VLOOKUP($A17,Konsul!$A$40:$G$45,3,FALSE))</f>
        <v>OF</v>
      </c>
      <c r="K17" s="99" t="str">
        <f>IF(VLOOKUP($A17,Konsul!$A$40:$G$45,4,FALSE)=0,"",VLOOKUP($A17,Konsul!$A$40:$G$45,4,FALSE))</f>
        <v>Bos</v>
      </c>
      <c r="L17" s="99" t="str">
        <f>IF(VLOOKUP($A17,Konsul!$A$40:$G$45,5,FALSE)=0,"",VLOOKUP($A17,Konsul!$A$40:$G$45,5,FALSE))</f>
        <v>A15</v>
      </c>
      <c r="M17" s="100">
        <f>IF(VLOOKUP($A17,Konsul!$A$40:$G$45,6,FALSE)=0,"",VLOOKUP($A17,Konsul!$A$40:$G$45,6,FALSE))</f>
        <v>7.35</v>
      </c>
      <c r="N17" s="101">
        <f>IF(VLOOKUP($A17,Konsul!$A$40:$G$45,7,FALSE)=0,"",VLOOKUP($A17,Konsul!$A$40:$G$45,7,FALSE))</f>
        <v>2019</v>
      </c>
      <c r="O17" s="97">
        <v>2</v>
      </c>
      <c r="P17" s="98">
        <f>IF(VLOOKUP($A17,Wilt!$A$40:$G$45,2,FALSE)=0,"",VLOOKUP($A17,Wilt!$A$40:$G$45,2,FALSE))</f>
      </c>
      <c r="Q17" s="99">
        <f>IF(VLOOKUP($A17,Wilt!$A$40:$G$45,3,FALSE)=0,"",VLOOKUP($A17,Wilt!$A$40:$G$45,3,FALSE))</f>
      </c>
      <c r="R17" s="99">
        <f>IF(VLOOKUP($A17,Wilt!$A$40:$G$45,4,FALSE)=0,"",VLOOKUP($A17,Wilt!$A$40:$G$45,4,FALSE))</f>
      </c>
      <c r="S17" s="99">
        <f>IF(VLOOKUP($A17,Wilt!$A$40:$G$45,5,FALSE)=0,"",VLOOKUP($A17,Wilt!$A$40:$G$45,5,FALSE))</f>
      </c>
      <c r="T17" s="100">
        <f>IF(VLOOKUP($A17,Wilt!$A$40:$G$45,6,FALSE)=0,"",VLOOKUP($A17,Wilt!$A$40:$G$45,6,FALSE))</f>
      </c>
      <c r="U17" s="101">
        <f>IF(VLOOKUP($A17,Wilt!$A$40:$G$45,7,FALSE)=0,"",VLOOKUP($A17,Wilt!$A$40:$G$45,7,FALSE))</f>
      </c>
    </row>
    <row r="18" spans="1:21" ht="12.75">
      <c r="A18" s="97">
        <v>3</v>
      </c>
      <c r="B18" s="98" t="str">
        <f>IF(VLOOKUP($A18,Biegler!$A$40:$G$45,2,FALSE)=0,"",VLOOKUP($A18,Biegler!$A$40:$G$45,2,FALSE))</f>
        <v>Venters, Johnny</v>
      </c>
      <c r="C18" s="99" t="str">
        <f>IF(VLOOKUP($A18,Biegler!$A$40:$G$45,3,FALSE)=0,"",VLOOKUP($A18,Biegler!$A$40:$G$45,3,FALSE))</f>
        <v>RP</v>
      </c>
      <c r="D18" s="99" t="str">
        <f>IF(VLOOKUP($A18,Biegler!$A$40:$G$45,4,FALSE)=0,"",VLOOKUP($A18,Biegler!$A$40:$G$45,4,FALSE))</f>
        <v>Atl</v>
      </c>
      <c r="E18" s="99" t="str">
        <f>IF(VLOOKUP($A18,Biegler!$A$40:$G$45,5,FALSE)=0,"",VLOOKUP($A18,Biegler!$A$40:$G$45,5,FALSE))</f>
        <v>FA</v>
      </c>
      <c r="F18" s="100">
        <f>IF(VLOOKUP($A18,Biegler!$A$40:$G$45,6,FALSE)=0,"",VLOOKUP($A18,Biegler!$A$40:$G$45,6,FALSE))</f>
        <v>4.3</v>
      </c>
      <c r="G18" s="101">
        <f>IF(VLOOKUP($A18,Biegler!$A$40:$G$45,7,FALSE)=0,"",VLOOKUP($A18,Biegler!$A$40:$G$45,7,FALSE))</f>
        <v>2015</v>
      </c>
      <c r="H18" s="97">
        <v>3</v>
      </c>
      <c r="I18" s="98" t="str">
        <f>IF(VLOOKUP($A18,Konsul!$A$40:$G$45,2,FALSE)=0,"",VLOOKUP($A18,Konsul!$A$40:$G$45,2,FALSE))</f>
        <v>Jackson, Alex</v>
      </c>
      <c r="J18" s="99" t="str">
        <f>IF(VLOOKUP($A18,Konsul!$A$40:$G$45,3,FALSE)=0,"",VLOOKUP($A18,Konsul!$A$40:$G$45,3,FALSE))</f>
        <v>OF</v>
      </c>
      <c r="K18" s="99" t="str">
        <f>IF(VLOOKUP($A18,Konsul!$A$40:$G$45,4,FALSE)=0,"",VLOOKUP($A18,Konsul!$A$40:$G$45,4,FALSE))</f>
        <v>Sea</v>
      </c>
      <c r="L18" s="99" t="str">
        <f>IF(VLOOKUP($A18,Konsul!$A$40:$G$45,5,FALSE)=0,"",VLOOKUP($A18,Konsul!$A$40:$G$45,5,FALSE))</f>
        <v>A15</v>
      </c>
      <c r="M18" s="100">
        <f>IF(VLOOKUP($A18,Konsul!$A$40:$G$45,6,FALSE)=0,"",VLOOKUP($A18,Konsul!$A$40:$G$45,6,FALSE))</f>
        <v>5.25</v>
      </c>
      <c r="N18" s="101">
        <f>IF(VLOOKUP($A18,Konsul!$A$40:$G$45,7,FALSE)=0,"",VLOOKUP($A18,Konsul!$A$40:$G$45,7,FALSE))</f>
        <v>2019</v>
      </c>
      <c r="O18" s="97">
        <v>3</v>
      </c>
      <c r="P18" s="98">
        <f>IF(VLOOKUP($A18,Wilt!$A$40:$G$45,2,FALSE)=0,"",VLOOKUP($A18,Wilt!$A$40:$G$45,2,FALSE))</f>
      </c>
      <c r="Q18" s="99">
        <f>IF(VLOOKUP($A18,Wilt!$A$40:$G$45,3,FALSE)=0,"",VLOOKUP($A18,Wilt!$A$40:$G$45,3,FALSE))</f>
      </c>
      <c r="R18" s="99">
        <f>IF(VLOOKUP($A18,Wilt!$A$40:$G$45,4,FALSE)=0,"",VLOOKUP($A18,Wilt!$A$40:$G$45,4,FALSE))</f>
      </c>
      <c r="S18" s="99">
        <f>IF(VLOOKUP($A18,Wilt!$A$40:$G$45,5,FALSE)=0,"",VLOOKUP($A18,Wilt!$A$40:$G$45,5,FALSE))</f>
      </c>
      <c r="T18" s="100">
        <f>IF(VLOOKUP($A18,Wilt!$A$40:$G$45,6,FALSE)=0,"",VLOOKUP($A18,Wilt!$A$40:$G$45,6,FALSE))</f>
      </c>
      <c r="U18" s="101">
        <f>IF(VLOOKUP($A18,Wilt!$A$40:$G$45,7,FALSE)=0,"",VLOOKUP($A18,Wilt!$A$40:$G$45,7,FALSE))</f>
      </c>
    </row>
    <row r="19" spans="1:21" ht="12.75">
      <c r="A19" s="97">
        <v>4</v>
      </c>
      <c r="B19" s="98" t="str">
        <f>IF(VLOOKUP($A19,Biegler!$A$40:$G$45,2,FALSE)=0,"",VLOOKUP($A19,Biegler!$A$40:$G$45,2,FALSE))</f>
        <v>Crain, Jesse</v>
      </c>
      <c r="C19" s="99" t="str">
        <f>IF(VLOOKUP($A19,Biegler!$A$40:$G$45,3,FALSE)=0,"",VLOOKUP($A19,Biegler!$A$40:$G$45,3,FALSE))</f>
        <v>RP</v>
      </c>
      <c r="D19" s="99" t="str">
        <f>IF(VLOOKUP($A19,Biegler!$A$40:$G$45,4,FALSE)=0,"",VLOOKUP($A19,Biegler!$A$40:$G$45,4,FALSE))</f>
        <v>CWS</v>
      </c>
      <c r="E19" s="99" t="str">
        <f>IF(VLOOKUP($A19,Biegler!$A$40:$G$45,5,FALSE)=0,"",VLOOKUP($A19,Biegler!$A$40:$G$45,5,FALSE))</f>
        <v>FA</v>
      </c>
      <c r="F19" s="100">
        <f>IF(VLOOKUP($A19,Biegler!$A$40:$G$45,6,FALSE)=0,"",VLOOKUP($A19,Biegler!$A$40:$G$45,6,FALSE))</f>
        <v>1.6</v>
      </c>
      <c r="G19" s="101">
        <f>IF(VLOOKUP($A19,Biegler!$A$40:$G$45,7,FALSE)=0,"",VLOOKUP($A19,Biegler!$A$40:$G$45,7,FALSE))</f>
        <v>2015</v>
      </c>
      <c r="H19" s="97">
        <v>4</v>
      </c>
      <c r="I19" s="98" t="str">
        <f>IF(VLOOKUP($A19,Konsul!$A$40:$G$45,2,FALSE)=0,"",VLOOKUP($A19,Konsul!$A$40:$G$45,2,FALSE))</f>
        <v>Weeks, Jemile</v>
      </c>
      <c r="J19" s="99" t="str">
        <f>IF(VLOOKUP($A19,Konsul!$A$40:$G$45,3,FALSE)=0,"",VLOOKUP($A19,Konsul!$A$40:$G$45,3,FALSE))</f>
        <v>2B</v>
      </c>
      <c r="K19" s="99" t="str">
        <f>IF(VLOOKUP($A19,Konsul!$A$40:$G$45,4,FALSE)=0,"",VLOOKUP($A19,Konsul!$A$40:$G$45,4,FALSE))</f>
        <v>Oak</v>
      </c>
      <c r="L19" s="99" t="str">
        <f>IF(VLOOKUP($A19,Konsul!$A$40:$G$45,5,FALSE)=0,"",VLOOKUP($A19,Konsul!$A$40:$G$45,5,FALSE))</f>
        <v>M13</v>
      </c>
      <c r="M19" s="100">
        <f>IF(VLOOKUP($A19,Konsul!$A$40:$G$45,6,FALSE)=0,"",VLOOKUP($A19,Konsul!$A$40:$G$45,6,FALSE))</f>
        <v>1.4</v>
      </c>
      <c r="N19" s="101">
        <f>IF(VLOOKUP($A19,Konsul!$A$40:$G$45,7,FALSE)=0,"",VLOOKUP($A19,Konsul!$A$40:$G$45,7,FALSE))</f>
        <v>2017</v>
      </c>
      <c r="O19" s="97">
        <v>4</v>
      </c>
      <c r="P19" s="98">
        <f>IF(VLOOKUP($A19,Wilt!$A$40:$G$45,2,FALSE)=0,"",VLOOKUP($A19,Wilt!$A$40:$G$45,2,FALSE))</f>
      </c>
      <c r="Q19" s="99">
        <f>IF(VLOOKUP($A19,Wilt!$A$40:$G$45,3,FALSE)=0,"",VLOOKUP($A19,Wilt!$A$40:$G$45,3,FALSE))</f>
      </c>
      <c r="R19" s="99">
        <f>IF(VLOOKUP($A19,Wilt!$A$40:$G$45,4,FALSE)=0,"",VLOOKUP($A19,Wilt!$A$40:$G$45,4,FALSE))</f>
      </c>
      <c r="S19" s="99">
        <f>IF(VLOOKUP($A19,Wilt!$A$40:$G$45,5,FALSE)=0,"",VLOOKUP($A19,Wilt!$A$40:$G$45,5,FALSE))</f>
      </c>
      <c r="T19" s="100">
        <f>IF(VLOOKUP($A19,Wilt!$A$40:$G$45,6,FALSE)=0,"",VLOOKUP($A19,Wilt!$A$40:$G$45,6,FALSE))</f>
      </c>
      <c r="U19" s="101">
        <f>IF(VLOOKUP($A19,Wilt!$A$40:$G$45,7,FALSE)=0,"",VLOOKUP($A19,Wilt!$A$40:$G$45,7,FALSE))</f>
      </c>
    </row>
    <row r="20" spans="1:21" ht="12.75">
      <c r="A20" s="97">
        <v>5</v>
      </c>
      <c r="B20" s="98">
        <f>IF(VLOOKUP($A20,Biegler!$A$40:$G$45,2,FALSE)=0,"",VLOOKUP($A20,Biegler!$A$40:$G$45,2,FALSE))</f>
      </c>
      <c r="C20" s="99">
        <f>IF(VLOOKUP($A20,Biegler!$A$40:$G$45,3,FALSE)=0,"",VLOOKUP($A20,Biegler!$A$40:$G$45,3,FALSE))</f>
      </c>
      <c r="D20" s="99">
        <f>IF(VLOOKUP($A20,Biegler!$A$40:$G$45,4,FALSE)=0,"",VLOOKUP($A20,Biegler!$A$40:$G$45,4,FALSE))</f>
      </c>
      <c r="E20" s="99">
        <f>IF(VLOOKUP($A20,Biegler!$A$40:$G$45,5,FALSE)=0,"",VLOOKUP($A20,Biegler!$A$40:$G$45,5,FALSE))</f>
      </c>
      <c r="F20" s="100">
        <f>IF(VLOOKUP($A20,Biegler!$A$40:$G$45,6,FALSE)=0,"",VLOOKUP($A20,Biegler!$A$40:$G$45,6,FALSE))</f>
      </c>
      <c r="G20" s="101">
        <f>IF(VLOOKUP($A20,Biegler!$A$40:$G$45,7,FALSE)=0,"",VLOOKUP($A20,Biegler!$A$40:$G$45,7,FALSE))</f>
      </c>
      <c r="H20" s="97">
        <v>5</v>
      </c>
      <c r="I20" s="98" t="str">
        <f>IF(VLOOKUP($A20,Konsul!$A$40:$G$45,2,FALSE)=0,"",VLOOKUP($A20,Konsul!$A$40:$G$45,2,FALSE))</f>
        <v>Paredes, Jimmy</v>
      </c>
      <c r="J20" s="99" t="str">
        <f>IF(VLOOKUP($A20,Konsul!$A$40:$G$45,3,FALSE)=0,"",VLOOKUP($A20,Konsul!$A$40:$G$45,3,FALSE))</f>
        <v>3B</v>
      </c>
      <c r="K20" s="99" t="str">
        <f>IF(VLOOKUP($A20,Konsul!$A$40:$G$45,4,FALSE)=0,"",VLOOKUP($A20,Konsul!$A$40:$G$45,4,FALSE))</f>
        <v>Hou</v>
      </c>
      <c r="L20" s="99" t="str">
        <f>IF(VLOOKUP($A20,Konsul!$A$40:$G$45,5,FALSE)=0,"",VLOOKUP($A20,Konsul!$A$40:$G$45,5,FALSE))</f>
        <v>Minor</v>
      </c>
      <c r="M20" s="100">
        <f>IF(VLOOKUP($A20,Konsul!$A$40:$G$45,6,FALSE)=0,"",VLOOKUP($A20,Konsul!$A$40:$G$45,6,FALSE))</f>
        <v>1.3</v>
      </c>
      <c r="N20" s="101">
        <f>IF(VLOOKUP($A20,Konsul!$A$40:$G$45,7,FALSE)=0,"",VLOOKUP($A20,Konsul!$A$40:$G$45,7,FALSE))</f>
        <v>2016</v>
      </c>
      <c r="O20" s="97">
        <v>5</v>
      </c>
      <c r="P20" s="98">
        <f>IF(VLOOKUP($A20,Wilt!$A$40:$G$45,2,FALSE)=0,"",VLOOKUP($A20,Wilt!$A$40:$G$45,2,FALSE))</f>
      </c>
      <c r="Q20" s="99">
        <f>IF(VLOOKUP($A20,Wilt!$A$40:$G$45,3,FALSE)=0,"",VLOOKUP($A20,Wilt!$A$40:$G$45,3,FALSE))</f>
      </c>
      <c r="R20" s="99">
        <f>IF(VLOOKUP($A20,Wilt!$A$40:$G$45,4,FALSE)=0,"",VLOOKUP($A20,Wilt!$A$40:$G$45,4,FALSE))</f>
      </c>
      <c r="S20" s="99">
        <f>IF(VLOOKUP($A20,Wilt!$A$40:$G$45,5,FALSE)=0,"",VLOOKUP($A20,Wilt!$A$40:$G$45,5,FALSE))</f>
      </c>
      <c r="T20" s="100">
        <f>IF(VLOOKUP($A20,Wilt!$A$40:$G$45,6,FALSE)=0,"",VLOOKUP($A20,Wilt!$A$40:$G$45,6,FALSE))</f>
      </c>
      <c r="U20" s="101">
        <f>IF(VLOOKUP($A20,Wilt!$A$40:$G$45,7,FALSE)=0,"",VLOOKUP($A20,Wilt!$A$40:$G$45,7,FALSE))</f>
      </c>
    </row>
    <row r="21" spans="1:21" ht="13.5" thickBot="1">
      <c r="A21" s="102">
        <v>6</v>
      </c>
      <c r="B21" s="103">
        <f>IF(VLOOKUP($A21,Biegler!$A$40:$G$45,2,FALSE)=0,"",VLOOKUP($A21,Biegler!$A$40:$G$45,2,FALSE))</f>
      </c>
      <c r="C21" s="104">
        <f>IF(VLOOKUP($A21,Biegler!$A$40:$G$45,3,FALSE)=0,"",VLOOKUP($A21,Biegler!$A$40:$G$45,3,FALSE))</f>
      </c>
      <c r="D21" s="104">
        <f>IF(VLOOKUP($A21,Biegler!$A$40:$G$45,4,FALSE)=0,"",VLOOKUP($A21,Biegler!$A$40:$G$45,4,FALSE))</f>
      </c>
      <c r="E21" s="104">
        <f>IF(VLOOKUP($A21,Biegler!$A$40:$G$45,5,FALSE)=0,"",VLOOKUP($A21,Biegler!$A$40:$G$45,5,FALSE))</f>
      </c>
      <c r="F21" s="105">
        <f>IF(VLOOKUP($A21,Biegler!$A$40:$G$45,6,FALSE)=0,"",VLOOKUP($A21,Biegler!$A$40:$G$45,6,FALSE))</f>
      </c>
      <c r="G21" s="106">
        <f>IF(VLOOKUP($A21,Biegler!$A$40:$G$45,7,FALSE)=0,"",VLOOKUP($A21,Biegler!$A$40:$G$45,7,FALSE))</f>
      </c>
      <c r="H21" s="102">
        <v>6</v>
      </c>
      <c r="I21" s="103" t="str">
        <f>IF(VLOOKUP($A21,Konsul!$A$40:$G$45,2,FALSE)=0,"",VLOOKUP($A21,Konsul!$A$40:$G$45,2,FALSE))</f>
        <v>Thomas, Yasmani</v>
      </c>
      <c r="J21" s="104" t="str">
        <f>IF(VLOOKUP($A21,Konsul!$A$40:$G$45,3,FALSE)=0,"",VLOOKUP($A21,Konsul!$A$40:$G$45,3,FALSE))</f>
        <v>OF</v>
      </c>
      <c r="K21" s="104" t="str">
        <f>IF(VLOOKUP($A21,Konsul!$A$40:$G$45,4,FALSE)=0,"",VLOOKUP($A21,Konsul!$A$40:$G$45,4,FALSE))</f>
        <v>Ari</v>
      </c>
      <c r="L21" s="104" t="str">
        <f>IF(VLOOKUP($A21,Konsul!$A$40:$G$45,5,FALSE)=0,"",VLOOKUP($A21,Konsul!$A$40:$G$45,5,FALSE))</f>
        <v>A15</v>
      </c>
      <c r="M21" s="105">
        <f>IF(VLOOKUP($A21,Konsul!$A$40:$G$45,6,FALSE)=0,"",VLOOKUP($A21,Konsul!$A$40:$G$45,6,FALSE))</f>
        <v>6</v>
      </c>
      <c r="N21" s="106">
        <f>IF(VLOOKUP($A21,Konsul!$A$40:$G$45,7,FALSE)=0,"",VLOOKUP($A21,Konsul!$A$40:$G$45,7,FALSE))</f>
        <v>2015</v>
      </c>
      <c r="O21" s="102">
        <v>6</v>
      </c>
      <c r="P21" s="103">
        <f>IF(VLOOKUP($A21,Wilt!$A$40:$G$45,2,FALSE)=0,"",VLOOKUP($A21,Wilt!$A$40:$G$45,2,FALSE))</f>
      </c>
      <c r="Q21" s="104">
        <f>IF(VLOOKUP($A21,Wilt!$A$40:$G$45,3,FALSE)=0,"",VLOOKUP($A21,Wilt!$A$40:$G$45,3,FALSE))</f>
      </c>
      <c r="R21" s="104">
        <f>IF(VLOOKUP($A21,Wilt!$A$40:$G$45,4,FALSE)=0,"",VLOOKUP($A21,Wilt!$A$40:$G$45,4,FALSE))</f>
      </c>
      <c r="S21" s="104">
        <f>IF(VLOOKUP($A21,Wilt!$A$40:$G$45,5,FALSE)=0,"",VLOOKUP($A21,Wilt!$A$40:$G$45,5,FALSE))</f>
      </c>
      <c r="T21" s="105">
        <f>IF(VLOOKUP($A21,Wilt!$A$40:$G$45,6,FALSE)=0,"",VLOOKUP($A21,Wilt!$A$40:$G$45,6,FALSE))</f>
      </c>
      <c r="U21" s="106">
        <f>IF(VLOOKUP($A21,Wilt!$A$40:$G$45,7,FALSE)=0,"",VLOOKUP($A21,Wilt!$A$40:$G$45,7,FALSE))</f>
      </c>
    </row>
    <row r="22" spans="1:21" ht="12.75">
      <c r="A22" s="135" t="s">
        <v>468</v>
      </c>
      <c r="B22" s="136"/>
      <c r="C22" s="136"/>
      <c r="D22" s="136"/>
      <c r="E22" s="136"/>
      <c r="F22" s="136"/>
      <c r="G22" s="137"/>
      <c r="H22" s="135" t="s">
        <v>474</v>
      </c>
      <c r="I22" s="136"/>
      <c r="J22" s="136"/>
      <c r="K22" s="136"/>
      <c r="L22" s="136"/>
      <c r="M22" s="136"/>
      <c r="N22" s="137"/>
      <c r="O22" s="135" t="s">
        <v>479</v>
      </c>
      <c r="P22" s="136"/>
      <c r="Q22" s="136"/>
      <c r="R22" s="136"/>
      <c r="S22" s="136"/>
      <c r="T22" s="136"/>
      <c r="U22" s="137"/>
    </row>
    <row r="23" spans="1:21" ht="12.75">
      <c r="A23" s="97">
        <v>1</v>
      </c>
      <c r="B23" s="98" t="str">
        <f>IF(VLOOKUP($A23,Cadmus!$A$40:$G$45,2,FALSE)=0,"",VLOOKUP($A23,Cadmus!$A$40:$G$45,2,FALSE))</f>
        <v>Owens, Henry</v>
      </c>
      <c r="C23" s="99" t="str">
        <f>IF(VLOOKUP($A23,Cadmus!$A$40:$G$45,3,FALSE)=0,"",VLOOKUP($A23,Cadmus!$A$40:$G$45,3,FALSE))</f>
        <v>SP</v>
      </c>
      <c r="D23" s="99" t="str">
        <f>IF(VLOOKUP($A23,Cadmus!$A$40:$G$45,4,FALSE)=0,"",VLOOKUP($A23,Cadmus!$A$40:$G$45,4,FALSE))</f>
        <v>Bos</v>
      </c>
      <c r="E23" s="99" t="str">
        <f>IF(VLOOKUP($A23,Cadmus!$A$40:$G$45,5,FALSE)=0,"",VLOOKUP($A23,Cadmus!$A$40:$G$45,5,FALSE))</f>
        <v>A15</v>
      </c>
      <c r="F23" s="100">
        <f>IF(VLOOKUP($A23,Cadmus!$A$40:$G$45,6,FALSE)=0,"",VLOOKUP($A23,Cadmus!$A$40:$G$45,6,FALSE))</f>
        <v>1.7</v>
      </c>
      <c r="G23" s="101">
        <f>IF(VLOOKUP($A23,Cadmus!$A$40:$G$45,7,FALSE)=0,"",VLOOKUP($A23,Cadmus!$A$40:$G$45,7,FALSE))</f>
        <v>2019</v>
      </c>
      <c r="H23" s="97">
        <v>1</v>
      </c>
      <c r="I23" s="98">
        <f>IF(VLOOKUP($A23,Kumar!$A$40:$G$45,2,FALSE)=0,"",VLOOKUP($A23,Kumar!$A$40:$G$45,2,FALSE))</f>
      </c>
      <c r="J23" s="99">
        <f>IF(VLOOKUP($A23,Kumar!$A$40:$G$45,3,FALSE)=0,"",VLOOKUP($A23,Kumar!$A$40:$G$45,3,FALSE))</f>
      </c>
      <c r="K23" s="99">
        <f>IF(VLOOKUP($A23,Kumar!$A$40:$G$45,4,FALSE)=0,"",VLOOKUP($A23,Kumar!$A$40:$G$45,4,FALSE))</f>
      </c>
      <c r="L23" s="99">
        <f>IF(VLOOKUP($A23,Kumar!$A$40:$G$45,5,FALSE)=0,"",VLOOKUP($A23,Kumar!$A$40:$G$45,5,FALSE))</f>
      </c>
      <c r="M23" s="100">
        <f>IF(VLOOKUP($A23,Kumar!$A$40:$G$45,6,FALSE)=0,"",VLOOKUP($A23,Kumar!$A$40:$G$45,6,FALSE))</f>
      </c>
      <c r="N23" s="101">
        <f>IF(VLOOKUP($A23,Kumar!$A$40:$G$45,7,FALSE)=0,"",VLOOKUP($A23,Kumar!$A$40:$G$45,7,FALSE))</f>
      </c>
      <c r="O23" s="97">
        <v>1</v>
      </c>
      <c r="P23" s="98" t="str">
        <f>IF(VLOOKUP($A23,WoodfordB!$A$40:$G$45,2,FALSE)=0,"",VLOOKUP($A23,WoodfordB!$A$40:$G$45,2,FALSE))</f>
        <v>Glasnow, Tyler</v>
      </c>
      <c r="Q23" s="99" t="str">
        <f>IF(VLOOKUP($A23,WoodfordB!$A$40:$G$45,3,FALSE)=0,"",VLOOKUP($A23,WoodfordB!$A$40:$G$45,3,FALSE))</f>
        <v>SP</v>
      </c>
      <c r="R23" s="99" t="str">
        <f>IF(VLOOKUP($A23,WoodfordB!$A$40:$G$45,4,FALSE)=0,"",VLOOKUP($A23,WoodfordB!$A$40:$G$45,4,FALSE))</f>
        <v>Pit</v>
      </c>
      <c r="S23" s="99" t="str">
        <f>IF(VLOOKUP($A23,WoodfordB!$A$40:$G$45,5,FALSE)=0,"",VLOOKUP($A23,WoodfordB!$A$40:$G$45,5,FALSE))</f>
        <v>A15</v>
      </c>
      <c r="T23" s="100">
        <f>IF(VLOOKUP($A23,WoodfordB!$A$40:$G$45,6,FALSE)=0,"",VLOOKUP($A23,WoodfordB!$A$40:$G$45,6,FALSE))</f>
        <v>6.5</v>
      </c>
      <c r="U23" s="101">
        <f>IF(VLOOKUP($A23,WoodfordB!$A$40:$G$45,7,FALSE)=0,"",VLOOKUP($A23,WoodfordB!$A$40:$G$45,7,FALSE))</f>
        <v>2019</v>
      </c>
    </row>
    <row r="24" spans="1:21" ht="12.75">
      <c r="A24" s="97">
        <v>2</v>
      </c>
      <c r="B24" s="98">
        <f>IF(VLOOKUP($A24,Cadmus!$A$40:$G$45,2,FALSE)=0,"",VLOOKUP($A24,Cadmus!$A$40:$G$45,2,FALSE))</f>
      </c>
      <c r="C24" s="99">
        <f>IF(VLOOKUP($A24,Cadmus!$A$40:$G$45,3,FALSE)=0,"",VLOOKUP($A24,Cadmus!$A$40:$G$45,3,FALSE))</f>
      </c>
      <c r="D24" s="99">
        <f>IF(VLOOKUP($A24,Cadmus!$A$40:$G$45,4,FALSE)=0,"",VLOOKUP($A24,Cadmus!$A$40:$G$45,4,FALSE))</f>
      </c>
      <c r="E24" s="99">
        <f>IF(VLOOKUP($A24,Cadmus!$A$40:$G$45,5,FALSE)=0,"",VLOOKUP($A24,Cadmus!$A$40:$G$45,5,FALSE))</f>
      </c>
      <c r="F24" s="100">
        <f>IF(VLOOKUP($A24,Cadmus!$A$40:$G$45,6,FALSE)=0,"",VLOOKUP($A24,Cadmus!$A$40:$G$45,6,FALSE))</f>
      </c>
      <c r="G24" s="101">
        <f>IF(VLOOKUP($A24,Cadmus!$A$40:$G$45,7,FALSE)=0,"",VLOOKUP($A24,Cadmus!$A$40:$G$45,7,FALSE))</f>
      </c>
      <c r="H24" s="97">
        <v>2</v>
      </c>
      <c r="I24" s="98">
        <f>IF(VLOOKUP($A24,Kumar!$A$40:$G$45,2,FALSE)=0,"",VLOOKUP($A24,Kumar!$A$40:$G$45,2,FALSE))</f>
      </c>
      <c r="J24" s="99">
        <f>IF(VLOOKUP($A24,Kumar!$A$40:$G$45,3,FALSE)=0,"",VLOOKUP($A24,Kumar!$A$40:$G$45,3,FALSE))</f>
      </c>
      <c r="K24" s="99">
        <f>IF(VLOOKUP($A24,Kumar!$A$40:$G$45,4,FALSE)=0,"",VLOOKUP($A24,Kumar!$A$40:$G$45,4,FALSE))</f>
      </c>
      <c r="L24" s="99">
        <f>IF(VLOOKUP($A24,Kumar!$A$40:$G$45,5,FALSE)=0,"",VLOOKUP($A24,Kumar!$A$40:$G$45,5,FALSE))</f>
      </c>
      <c r="M24" s="100">
        <f>IF(VLOOKUP($A24,Kumar!$A$40:$G$45,6,FALSE)=0,"",VLOOKUP($A24,Kumar!$A$40:$G$45,6,FALSE))</f>
      </c>
      <c r="N24" s="101">
        <f>IF(VLOOKUP($A24,Kumar!$A$40:$G$45,7,FALSE)=0,"",VLOOKUP($A24,Kumar!$A$40:$G$45,7,FALSE))</f>
      </c>
      <c r="O24" s="97">
        <v>2</v>
      </c>
      <c r="P24" s="98" t="str">
        <f>IF(VLOOKUP($A24,WoodfordB!$A$40:$G$45,2,FALSE)=0,"",VLOOKUP($A24,WoodfordB!$A$40:$G$45,2,FALSE))</f>
        <v>Peraza, Jose</v>
      </c>
      <c r="Q24" s="99" t="str">
        <f>IF(VLOOKUP($A24,WoodfordB!$A$40:$G$45,3,FALSE)=0,"",VLOOKUP($A24,WoodfordB!$A$40:$G$45,3,FALSE))</f>
        <v>SS</v>
      </c>
      <c r="R24" s="99" t="str">
        <f>IF(VLOOKUP($A24,WoodfordB!$A$40:$G$45,4,FALSE)=0,"",VLOOKUP($A24,WoodfordB!$A$40:$G$45,4,FALSE))</f>
        <v>Atl</v>
      </c>
      <c r="S24" s="99" t="str">
        <f>IF(VLOOKUP($A24,WoodfordB!$A$40:$G$45,5,FALSE)=0,"",VLOOKUP($A24,WoodfordB!$A$40:$G$45,5,FALSE))</f>
        <v>A15</v>
      </c>
      <c r="T24" s="100">
        <f>IF(VLOOKUP($A24,WoodfordB!$A$40:$G$45,6,FALSE)=0,"",VLOOKUP($A24,WoodfordB!$A$40:$G$45,6,FALSE))</f>
        <v>1.7</v>
      </c>
      <c r="U24" s="101">
        <f>IF(VLOOKUP($A24,WoodfordB!$A$40:$G$45,7,FALSE)=0,"",VLOOKUP($A24,WoodfordB!$A$40:$G$45,7,FALSE))</f>
        <v>2019</v>
      </c>
    </row>
    <row r="25" spans="1:21" ht="12.75">
      <c r="A25" s="97">
        <v>3</v>
      </c>
      <c r="B25" s="98">
        <f>IF(VLOOKUP($A25,Cadmus!$A$40:$G$45,2,FALSE)=0,"",VLOOKUP($A25,Cadmus!$A$40:$G$45,2,FALSE))</f>
      </c>
      <c r="C25" s="99">
        <f>IF(VLOOKUP($A25,Cadmus!$A$40:$G$45,3,FALSE)=0,"",VLOOKUP($A25,Cadmus!$A$40:$G$45,3,FALSE))</f>
      </c>
      <c r="D25" s="99">
        <f>IF(VLOOKUP($A25,Cadmus!$A$40:$G$45,4,FALSE)=0,"",VLOOKUP($A25,Cadmus!$A$40:$G$45,4,FALSE))</f>
      </c>
      <c r="E25" s="99">
        <f>IF(VLOOKUP($A25,Cadmus!$A$40:$G$45,5,FALSE)=0,"",VLOOKUP($A25,Cadmus!$A$40:$G$45,5,FALSE))</f>
      </c>
      <c r="F25" s="100">
        <f>IF(VLOOKUP($A25,Cadmus!$A$40:$G$45,6,FALSE)=0,"",VLOOKUP($A25,Cadmus!$A$40:$G$45,6,FALSE))</f>
      </c>
      <c r="G25" s="101">
        <f>IF(VLOOKUP($A25,Cadmus!$A$40:$G$45,7,FALSE)=0,"",VLOOKUP($A25,Cadmus!$A$40:$G$45,7,FALSE))</f>
      </c>
      <c r="H25" s="97">
        <v>3</v>
      </c>
      <c r="I25" s="98">
        <f>IF(VLOOKUP($A25,Kumar!$A$40:$G$45,2,FALSE)=0,"",VLOOKUP($A25,Kumar!$A$40:$G$45,2,FALSE))</f>
      </c>
      <c r="J25" s="99">
        <f>IF(VLOOKUP($A25,Kumar!$A$40:$G$45,3,FALSE)=0,"",VLOOKUP($A25,Kumar!$A$40:$G$45,3,FALSE))</f>
      </c>
      <c r="K25" s="99">
        <f>IF(VLOOKUP($A25,Kumar!$A$40:$G$45,4,FALSE)=0,"",VLOOKUP($A25,Kumar!$A$40:$G$45,4,FALSE))</f>
      </c>
      <c r="L25" s="99">
        <f>IF(VLOOKUP($A25,Kumar!$A$40:$G$45,5,FALSE)=0,"",VLOOKUP($A25,Kumar!$A$40:$G$45,5,FALSE))</f>
      </c>
      <c r="M25" s="100">
        <f>IF(VLOOKUP($A25,Kumar!$A$40:$G$45,6,FALSE)=0,"",VLOOKUP($A25,Kumar!$A$40:$G$45,6,FALSE))</f>
      </c>
      <c r="N25" s="101">
        <f>IF(VLOOKUP($A25,Kumar!$A$40:$G$45,7,FALSE)=0,"",VLOOKUP($A25,Kumar!$A$40:$G$45,7,FALSE))</f>
      </c>
      <c r="O25" s="97">
        <v>3</v>
      </c>
      <c r="P25" s="98" t="str">
        <f>IF(VLOOKUP($A25,WoodfordB!$A$40:$G$45,2,FALSE)=0,"",VLOOKUP($A25,WoodfordB!$A$40:$G$45,2,FALSE))</f>
        <v>Stephenson, Robert</v>
      </c>
      <c r="Q25" s="99" t="str">
        <f>IF(VLOOKUP($A25,WoodfordB!$A$40:$G$45,3,FALSE)=0,"",VLOOKUP($A25,WoodfordB!$A$40:$G$45,3,FALSE))</f>
        <v>SP</v>
      </c>
      <c r="R25" s="99" t="str">
        <f>IF(VLOOKUP($A25,WoodfordB!$A$40:$G$45,4,FALSE)=0,"",VLOOKUP($A25,WoodfordB!$A$40:$G$45,4,FALSE))</f>
        <v>Cin</v>
      </c>
      <c r="S25" s="99" t="str">
        <f>IF(VLOOKUP($A25,WoodfordB!$A$40:$G$45,5,FALSE)=0,"",VLOOKUP($A25,WoodfordB!$A$40:$G$45,5,FALSE))</f>
        <v>M14</v>
      </c>
      <c r="T25" s="100">
        <f>IF(VLOOKUP($A25,WoodfordB!$A$40:$G$45,6,FALSE)=0,"",VLOOKUP($A25,WoodfordB!$A$40:$G$45,6,FALSE))</f>
        <v>7.05</v>
      </c>
      <c r="U25" s="101">
        <f>IF(VLOOKUP($A25,WoodfordB!$A$40:$G$45,7,FALSE)=0,"",VLOOKUP($A25,WoodfordB!$A$40:$G$45,7,FALSE))</f>
        <v>2018</v>
      </c>
    </row>
    <row r="26" spans="1:21" ht="12.75">
      <c r="A26" s="97">
        <v>4</v>
      </c>
      <c r="B26" s="98">
        <f>IF(VLOOKUP($A26,Cadmus!$A$40:$G$45,2,FALSE)=0,"",VLOOKUP($A26,Cadmus!$A$40:$G$45,2,FALSE))</f>
      </c>
      <c r="C26" s="99">
        <f>IF(VLOOKUP($A26,Cadmus!$A$40:$G$45,3,FALSE)=0,"",VLOOKUP($A26,Cadmus!$A$40:$G$45,3,FALSE))</f>
      </c>
      <c r="D26" s="99">
        <f>IF(VLOOKUP($A26,Cadmus!$A$40:$G$45,4,FALSE)=0,"",VLOOKUP($A26,Cadmus!$A$40:$G$45,4,FALSE))</f>
      </c>
      <c r="E26" s="99">
        <f>IF(VLOOKUP($A26,Cadmus!$A$40:$G$45,5,FALSE)=0,"",VLOOKUP($A26,Cadmus!$A$40:$G$45,5,FALSE))</f>
      </c>
      <c r="F26" s="100">
        <f>IF(VLOOKUP($A26,Cadmus!$A$40:$G$45,6,FALSE)=0,"",VLOOKUP($A26,Cadmus!$A$40:$G$45,6,FALSE))</f>
      </c>
      <c r="G26" s="101">
        <f>IF(VLOOKUP($A26,Cadmus!$A$40:$G$45,7,FALSE)=0,"",VLOOKUP($A26,Cadmus!$A$40:$G$45,7,FALSE))</f>
      </c>
      <c r="H26" s="97">
        <v>4</v>
      </c>
      <c r="I26" s="98">
        <f>IF(VLOOKUP($A26,Kumar!$A$40:$G$45,2,FALSE)=0,"",VLOOKUP($A26,Kumar!$A$40:$G$45,2,FALSE))</f>
      </c>
      <c r="J26" s="99">
        <f>IF(VLOOKUP($A26,Kumar!$A$40:$G$45,3,FALSE)=0,"",VLOOKUP($A26,Kumar!$A$40:$G$45,3,FALSE))</f>
      </c>
      <c r="K26" s="99">
        <f>IF(VLOOKUP($A26,Kumar!$A$40:$G$45,4,FALSE)=0,"",VLOOKUP($A26,Kumar!$A$40:$G$45,4,FALSE))</f>
      </c>
      <c r="L26" s="99">
        <f>IF(VLOOKUP($A26,Kumar!$A$40:$G$45,5,FALSE)=0,"",VLOOKUP($A26,Kumar!$A$40:$G$45,5,FALSE))</f>
      </c>
      <c r="M26" s="100">
        <f>IF(VLOOKUP($A26,Kumar!$A$40:$G$45,6,FALSE)=0,"",VLOOKUP($A26,Kumar!$A$40:$G$45,6,FALSE))</f>
      </c>
      <c r="N26" s="101">
        <f>IF(VLOOKUP($A26,Kumar!$A$40:$G$45,7,FALSE)=0,"",VLOOKUP($A26,Kumar!$A$40:$G$45,7,FALSE))</f>
      </c>
      <c r="O26" s="97">
        <v>4</v>
      </c>
      <c r="P26" s="98" t="str">
        <f>IF(VLOOKUP($A26,WoodfordB!$A$40:$G$45,2,FALSE)=0,"",VLOOKUP($A26,WoodfordB!$A$40:$G$45,2,FALSE))</f>
        <v>Meyer, Alex</v>
      </c>
      <c r="Q26" s="99" t="str">
        <f>IF(VLOOKUP($A26,WoodfordB!$A$40:$G$45,3,FALSE)=0,"",VLOOKUP($A26,WoodfordB!$A$40:$G$45,3,FALSE))</f>
        <v>SP</v>
      </c>
      <c r="R26" s="99" t="str">
        <f>IF(VLOOKUP($A26,WoodfordB!$A$40:$G$45,4,FALSE)=0,"",VLOOKUP($A26,WoodfordB!$A$40:$G$45,4,FALSE))</f>
        <v>Min</v>
      </c>
      <c r="S26" s="99" t="str">
        <f>IF(VLOOKUP($A26,WoodfordB!$A$40:$G$45,5,FALSE)=0,"",VLOOKUP($A26,WoodfordB!$A$40:$G$45,5,FALSE))</f>
        <v>M14</v>
      </c>
      <c r="T26" s="100">
        <f>IF(VLOOKUP($A26,WoodfordB!$A$40:$G$45,6,FALSE)=0,"",VLOOKUP($A26,WoodfordB!$A$40:$G$45,6,FALSE))</f>
        <v>4.5</v>
      </c>
      <c r="U26" s="101">
        <f>IF(VLOOKUP($A26,WoodfordB!$A$40:$G$45,7,FALSE)=0,"",VLOOKUP($A26,WoodfordB!$A$40:$G$45,7,FALSE))</f>
        <v>2018</v>
      </c>
    </row>
    <row r="27" spans="1:21" ht="12.75">
      <c r="A27" s="97">
        <v>5</v>
      </c>
      <c r="B27" s="98">
        <f>IF(VLOOKUP($A27,Cadmus!$A$40:$G$45,2,FALSE)=0,"",VLOOKUP($A27,Cadmus!$A$40:$G$45,2,FALSE))</f>
      </c>
      <c r="C27" s="99">
        <f>IF(VLOOKUP($A27,Cadmus!$A$40:$G$45,3,FALSE)=0,"",VLOOKUP($A27,Cadmus!$A$40:$G$45,3,FALSE))</f>
      </c>
      <c r="D27" s="99">
        <f>IF(VLOOKUP($A27,Cadmus!$A$40:$G$45,4,FALSE)=0,"",VLOOKUP($A27,Cadmus!$A$40:$G$45,4,FALSE))</f>
      </c>
      <c r="E27" s="99">
        <f>IF(VLOOKUP($A27,Cadmus!$A$40:$G$45,5,FALSE)=0,"",VLOOKUP($A27,Cadmus!$A$40:$G$45,5,FALSE))</f>
      </c>
      <c r="F27" s="100">
        <f>IF(VLOOKUP($A27,Cadmus!$A$40:$G$45,6,FALSE)=0,"",VLOOKUP($A27,Cadmus!$A$40:$G$45,6,FALSE))</f>
      </c>
      <c r="G27" s="101">
        <f>IF(VLOOKUP($A27,Cadmus!$A$40:$G$45,7,FALSE)=0,"",VLOOKUP($A27,Cadmus!$A$40:$G$45,7,FALSE))</f>
      </c>
      <c r="H27" s="97">
        <v>5</v>
      </c>
      <c r="I27" s="98">
        <f>IF(VLOOKUP($A27,Kumar!$A$40:$G$45,2,FALSE)=0,"",VLOOKUP($A27,Kumar!$A$40:$G$45,2,FALSE))</f>
      </c>
      <c r="J27" s="99">
        <f>IF(VLOOKUP($A27,Kumar!$A$40:$G$45,3,FALSE)=0,"",VLOOKUP($A27,Kumar!$A$40:$G$45,3,FALSE))</f>
      </c>
      <c r="K27" s="99">
        <f>IF(VLOOKUP($A27,Kumar!$A$40:$G$45,4,FALSE)=0,"",VLOOKUP($A27,Kumar!$A$40:$G$45,4,FALSE))</f>
      </c>
      <c r="L27" s="99">
        <f>IF(VLOOKUP($A27,Kumar!$A$40:$G$45,5,FALSE)=0,"",VLOOKUP($A27,Kumar!$A$40:$G$45,5,FALSE))</f>
      </c>
      <c r="M27" s="100">
        <f>IF(VLOOKUP($A27,Kumar!$A$40:$G$45,6,FALSE)=0,"",VLOOKUP($A27,Kumar!$A$40:$G$45,6,FALSE))</f>
      </c>
      <c r="N27" s="101">
        <f>IF(VLOOKUP($A27,Kumar!$A$40:$G$45,7,FALSE)=0,"",VLOOKUP($A27,Kumar!$A$40:$G$45,7,FALSE))</f>
      </c>
      <c r="O27" s="97">
        <v>5</v>
      </c>
      <c r="P27" s="98" t="str">
        <f>IF(VLOOKUP($A27,WoodfordB!$A$40:$G$45,2,FALSE)=0,"",VLOOKUP($A27,WoodfordB!$A$40:$G$45,2,FALSE))</f>
        <v>Franco, Maikel</v>
      </c>
      <c r="Q27" s="99" t="str">
        <f>IF(VLOOKUP($A27,WoodfordB!$A$40:$G$45,3,FALSE)=0,"",VLOOKUP($A27,WoodfordB!$A$40:$G$45,3,FALSE))</f>
        <v>3B</v>
      </c>
      <c r="R27" s="99" t="str">
        <f>IF(VLOOKUP($A27,WoodfordB!$A$40:$G$45,4,FALSE)=0,"",VLOOKUP($A27,WoodfordB!$A$40:$G$45,4,FALSE))</f>
        <v>Phi</v>
      </c>
      <c r="S27" s="99" t="str">
        <f>IF(VLOOKUP($A27,WoodfordB!$A$40:$G$45,5,FALSE)=0,"",VLOOKUP($A27,WoodfordB!$A$40:$G$45,5,FALSE))</f>
        <v>M14</v>
      </c>
      <c r="T27" s="100">
        <f>IF(VLOOKUP($A27,WoodfordB!$A$40:$G$45,6,FALSE)=0,"",VLOOKUP($A27,WoodfordB!$A$40:$G$45,6,FALSE))</f>
        <v>4.25</v>
      </c>
      <c r="U27" s="101">
        <f>IF(VLOOKUP($A27,WoodfordB!$A$40:$G$45,7,FALSE)=0,"",VLOOKUP($A27,WoodfordB!$A$40:$G$45,7,FALSE))</f>
        <v>2018</v>
      </c>
    </row>
    <row r="28" spans="1:21" ht="13.5" thickBot="1">
      <c r="A28" s="102">
        <v>6</v>
      </c>
      <c r="B28" s="103">
        <f>IF(VLOOKUP($A28,Cadmus!$A$40:$G$45,2,FALSE)=0,"",VLOOKUP($A28,Cadmus!$A$40:$G$45,2,FALSE))</f>
      </c>
      <c r="C28" s="104">
        <f>IF(VLOOKUP($A28,Cadmus!$A$40:$G$45,3,FALSE)=0,"",VLOOKUP($A28,Cadmus!$A$40:$G$45,3,FALSE))</f>
      </c>
      <c r="D28" s="104">
        <f>IF(VLOOKUP($A28,Cadmus!$A$40:$G$45,4,FALSE)=0,"",VLOOKUP($A28,Cadmus!$A$40:$G$45,4,FALSE))</f>
      </c>
      <c r="E28" s="104">
        <f>IF(VLOOKUP($A28,Cadmus!$A$40:$G$45,5,FALSE)=0,"",VLOOKUP($A28,Cadmus!$A$40:$G$45,5,FALSE))</f>
      </c>
      <c r="F28" s="105">
        <f>IF(VLOOKUP($A28,Cadmus!$A$40:$G$45,6,FALSE)=0,"",VLOOKUP($A28,Cadmus!$A$40:$G$45,6,FALSE))</f>
      </c>
      <c r="G28" s="106">
        <f>IF(VLOOKUP($A28,Cadmus!$A$40:$G$45,7,FALSE)=0,"",VLOOKUP($A28,Cadmus!$A$40:$G$45,7,FALSE))</f>
      </c>
      <c r="H28" s="102">
        <v>6</v>
      </c>
      <c r="I28" s="103">
        <f>IF(VLOOKUP($A28,Kumar!$A$40:$G$45,2,FALSE)=0,"",VLOOKUP($A28,Kumar!$A$40:$G$45,2,FALSE))</f>
      </c>
      <c r="J28" s="104">
        <f>IF(VLOOKUP($A28,Kumar!$A$40:$G$45,3,FALSE)=0,"",VLOOKUP($A28,Kumar!$A$40:$G$45,3,FALSE))</f>
      </c>
      <c r="K28" s="104">
        <f>IF(VLOOKUP($A28,Kumar!$A$40:$G$45,4,FALSE)=0,"",VLOOKUP($A28,Kumar!$A$40:$G$45,4,FALSE))</f>
      </c>
      <c r="L28" s="104">
        <f>IF(VLOOKUP($A28,Kumar!$A$40:$G$45,5,FALSE)=0,"",VLOOKUP($A28,Kumar!$A$40:$G$45,5,FALSE))</f>
      </c>
      <c r="M28" s="105">
        <f>IF(VLOOKUP($A28,Kumar!$A$40:$G$45,6,FALSE)=0,"",VLOOKUP($A28,Kumar!$A$40:$G$45,6,FALSE))</f>
      </c>
      <c r="N28" s="106">
        <f>IF(VLOOKUP($A28,Kumar!$A$40:$G$45,7,FALSE)=0,"",VLOOKUP($A28,Kumar!$A$40:$G$45,7,FALSE))</f>
      </c>
      <c r="O28" s="102">
        <v>6</v>
      </c>
      <c r="P28" s="103">
        <f>IF(VLOOKUP($A28,WoodfordB!$A$40:$G$45,2,FALSE)=0,"",VLOOKUP($A28,WoodfordB!$A$40:$G$45,2,FALSE))</f>
      </c>
      <c r="Q28" s="104">
        <f>IF(VLOOKUP($A28,WoodfordB!$A$40:$G$45,3,FALSE)=0,"",VLOOKUP($A28,WoodfordB!$A$40:$G$45,3,FALSE))</f>
      </c>
      <c r="R28" s="104">
        <f>IF(VLOOKUP($A28,WoodfordB!$A$40:$G$45,4,FALSE)=0,"",VLOOKUP($A28,WoodfordB!$A$40:$G$45,4,FALSE))</f>
      </c>
      <c r="S28" s="104">
        <f>IF(VLOOKUP($A28,WoodfordB!$A$40:$G$45,5,FALSE)=0,"",VLOOKUP($A28,WoodfordB!$A$40:$G$45,5,FALSE))</f>
      </c>
      <c r="T28" s="105">
        <f>IF(VLOOKUP($A28,WoodfordB!$A$40:$G$45,6,FALSE)=0,"",VLOOKUP($A28,WoodfordB!$A$40:$G$45,6,FALSE))</f>
      </c>
      <c r="U28" s="106">
        <f>IF(VLOOKUP($A28,WoodfordB!$A$40:$G$45,7,FALSE)=0,"",VLOOKUP($A28,WoodfordB!$A$40:$G$45,7,FALSE))</f>
      </c>
    </row>
    <row r="29" spans="1:21" ht="12.75">
      <c r="A29" s="135" t="s">
        <v>469</v>
      </c>
      <c r="B29" s="136"/>
      <c r="C29" s="136"/>
      <c r="D29" s="136"/>
      <c r="E29" s="136"/>
      <c r="F29" s="136"/>
      <c r="G29" s="137"/>
      <c r="H29" s="135" t="s">
        <v>475</v>
      </c>
      <c r="I29" s="136"/>
      <c r="J29" s="136"/>
      <c r="K29" s="136"/>
      <c r="L29" s="136"/>
      <c r="M29" s="136"/>
      <c r="N29" s="137"/>
      <c r="O29" s="135" t="s">
        <v>480</v>
      </c>
      <c r="P29" s="136"/>
      <c r="Q29" s="136"/>
      <c r="R29" s="136"/>
      <c r="S29" s="136"/>
      <c r="T29" s="136"/>
      <c r="U29" s="137"/>
    </row>
    <row r="30" spans="1:21" ht="12.75">
      <c r="A30" s="97">
        <v>1</v>
      </c>
      <c r="B30" s="98" t="str">
        <f>IF(VLOOKUP($A30,Chaplin!$A$40:$G$45,2,FALSE)=0,"",VLOOKUP($A30,Chaplin!$A$40:$G$45,2,FALSE))</f>
        <v>Polanco, Gregory</v>
      </c>
      <c r="C30" s="99" t="str">
        <f>IF(VLOOKUP($A30,Chaplin!$A$40:$G$45,3,FALSE)=0,"",VLOOKUP($A30,Chaplin!$A$40:$G$45,3,FALSE))</f>
        <v>OF</v>
      </c>
      <c r="D30" s="99" t="str">
        <f>IF(VLOOKUP($A30,Chaplin!$A$40:$G$45,4,FALSE)=0,"",VLOOKUP($A30,Chaplin!$A$40:$G$45,4,FALSE))</f>
        <v>Pit</v>
      </c>
      <c r="E30" s="99" t="str">
        <f>IF(VLOOKUP($A30,Chaplin!$A$40:$G$45,5,FALSE)=0,"",VLOOKUP($A30,Chaplin!$A$40:$G$45,5,FALSE))</f>
        <v>M14</v>
      </c>
      <c r="F30" s="100">
        <f>IF(VLOOKUP($A30,Chaplin!$A$40:$G$45,6,FALSE)=0,"",VLOOKUP($A30,Chaplin!$A$40:$G$45,6,FALSE))</f>
        <v>7</v>
      </c>
      <c r="G30" s="101">
        <f>IF(VLOOKUP($A30,Chaplin!$A$40:$G$45,7,FALSE)=0,"",VLOOKUP($A30,Chaplin!$A$40:$G$45,7,FALSE))</f>
        <v>2018</v>
      </c>
      <c r="H30" s="97">
        <v>1</v>
      </c>
      <c r="I30" s="98" t="str">
        <f>IF(VLOOKUP($A30,Rittenhouse!$A$40:$G$45,2,FALSE)=0,"",VLOOKUP($A30,Rittenhouse!$A$40:$G$45,2,FALSE))</f>
        <v>Lake, Junior</v>
      </c>
      <c r="J30" s="99" t="str">
        <f>IF(VLOOKUP($A30,Rittenhouse!$A$40:$G$45,3,FALSE)=0,"",VLOOKUP($A30,Rittenhouse!$A$40:$G$45,3,FALSE))</f>
        <v>OF</v>
      </c>
      <c r="K30" s="99" t="str">
        <f>IF(VLOOKUP($A30,Rittenhouse!$A$40:$G$45,4,FALSE)=0,"",VLOOKUP($A30,Rittenhouse!$A$40:$G$45,4,FALSE))</f>
        <v>ChC</v>
      </c>
      <c r="L30" s="99" t="str">
        <f>IF(VLOOKUP($A30,Rittenhouse!$A$40:$G$45,5,FALSE)=0,"",VLOOKUP($A30,Rittenhouse!$A$40:$G$45,5,FALSE))</f>
        <v>A14</v>
      </c>
      <c r="M30" s="100">
        <f>IF(VLOOKUP($A30,Rittenhouse!$A$40:$G$45,6,FALSE)=0,"",VLOOKUP($A30,Rittenhouse!$A$40:$G$45,6,FALSE))</f>
        <v>1.55</v>
      </c>
      <c r="N30" s="101">
        <f>IF(VLOOKUP($A30,Rittenhouse!$A$40:$G$45,7,FALSE)=0,"",VLOOKUP($A30,Rittenhouse!$A$40:$G$45,7,FALSE))</f>
        <v>2018</v>
      </c>
      <c r="O30" s="97">
        <v>1</v>
      </c>
      <c r="P30" s="98" t="str">
        <f>IF(VLOOKUP($A30,WoodfordW!$A$40:$G$45,2,FALSE)=0,"",VLOOKUP($A30,WoodfordW!$A$40:$G$45,2,FALSE))</f>
        <v>Correa, Carlos</v>
      </c>
      <c r="Q30" s="99" t="str">
        <f>IF(VLOOKUP($A30,WoodfordW!$A$40:$G$45,3,FALSE)=0,"",VLOOKUP($A30,WoodfordW!$A$40:$G$45,3,FALSE))</f>
        <v>SS</v>
      </c>
      <c r="R30" s="99" t="str">
        <f>IF(VLOOKUP($A30,WoodfordW!$A$40:$G$45,4,FALSE)=0,"",VLOOKUP($A30,WoodfordW!$A$40:$G$45,4,FALSE))</f>
        <v>Hou</v>
      </c>
      <c r="S30" s="99" t="str">
        <f>IF(VLOOKUP($A30,WoodfordW!$A$40:$G$45,5,FALSE)=0,"",VLOOKUP($A30,WoodfordW!$A$40:$G$45,5,FALSE))</f>
        <v>M15</v>
      </c>
      <c r="T30" s="100">
        <f>IF(VLOOKUP($A30,WoodfordW!$A$40:$G$45,6,FALSE)=0,"",VLOOKUP($A30,WoodfordW!$A$40:$G$45,6,FALSE))</f>
        <v>12.5</v>
      </c>
      <c r="U30" s="101">
        <f>IF(VLOOKUP($A30,WoodfordW!$A$40:$G$45,7,FALSE)=0,"",VLOOKUP($A30,WoodfordW!$A$40:$G$45,7,FALSE))</f>
        <v>2019</v>
      </c>
    </row>
    <row r="31" spans="1:21" ht="12.75">
      <c r="A31" s="97">
        <v>2</v>
      </c>
      <c r="B31" s="98" t="str">
        <f>IF(VLOOKUP($A31,Chaplin!$A$40:$G$45,2,FALSE)=0,"",VLOOKUP($A31,Chaplin!$A$40:$G$45,2,FALSE))</f>
        <v>Zimmer, Kyle</v>
      </c>
      <c r="C31" s="99" t="str">
        <f>IF(VLOOKUP($A31,Chaplin!$A$40:$G$45,3,FALSE)=0,"",VLOOKUP($A31,Chaplin!$A$40:$G$45,3,FALSE))</f>
        <v>C</v>
      </c>
      <c r="D31" s="99" t="str">
        <f>IF(VLOOKUP($A31,Chaplin!$A$40:$G$45,4,FALSE)=0,"",VLOOKUP($A31,Chaplin!$A$40:$G$45,4,FALSE))</f>
        <v>KC</v>
      </c>
      <c r="E31" s="99" t="str">
        <f>IF(VLOOKUP($A31,Chaplin!$A$40:$G$45,5,FALSE)=0,"",VLOOKUP($A31,Chaplin!$A$40:$G$45,5,FALSE))</f>
        <v>M13</v>
      </c>
      <c r="F31" s="100">
        <f>IF(VLOOKUP($A31,Chaplin!$A$40:$G$45,6,FALSE)=0,"",VLOOKUP($A31,Chaplin!$A$40:$G$45,6,FALSE))</f>
        <v>8.7</v>
      </c>
      <c r="G31" s="101">
        <f>IF(VLOOKUP($A31,Chaplin!$A$40:$G$45,7,FALSE)=0,"",VLOOKUP($A31,Chaplin!$A$40:$G$45,7,FALSE))</f>
        <v>2017</v>
      </c>
      <c r="H31" s="97">
        <v>2</v>
      </c>
      <c r="I31" s="98" t="str">
        <f>IF(VLOOKUP($A31,Rittenhouse!$A$40:$G$45,2,FALSE)=0,"",VLOOKUP($A31,Rittenhouse!$A$40:$G$45,2,FALSE))</f>
        <v>Sano, Miguel</v>
      </c>
      <c r="J31" s="99" t="str">
        <f>IF(VLOOKUP($A31,Rittenhouse!$A$40:$G$45,3,FALSE)=0,"",VLOOKUP($A31,Rittenhouse!$A$40:$G$45,3,FALSE))</f>
        <v>3B</v>
      </c>
      <c r="K31" s="99" t="str">
        <f>IF(VLOOKUP($A31,Rittenhouse!$A$40:$G$45,4,FALSE)=0,"",VLOOKUP($A31,Rittenhouse!$A$40:$G$45,4,FALSE))</f>
        <v>Min</v>
      </c>
      <c r="L31" s="99" t="str">
        <f>IF(VLOOKUP($A31,Rittenhouse!$A$40:$G$45,5,FALSE)=0,"",VLOOKUP($A31,Rittenhouse!$A$40:$G$45,5,FALSE))</f>
        <v>M13</v>
      </c>
      <c r="M31" s="100">
        <f>IF(VLOOKUP($A31,Rittenhouse!$A$40:$G$45,6,FALSE)=0,"",VLOOKUP($A31,Rittenhouse!$A$40:$G$45,6,FALSE))</f>
        <v>6.25</v>
      </c>
      <c r="N31" s="101">
        <f>IF(VLOOKUP($A31,Rittenhouse!$A$40:$G$45,7,FALSE)=0,"",VLOOKUP($A31,Rittenhouse!$A$40:$G$45,7,FALSE))</f>
        <v>2017</v>
      </c>
      <c r="O31" s="97">
        <v>2</v>
      </c>
      <c r="P31" s="98" t="str">
        <f>IF(VLOOKUP($A31,WoodfordW!$A$40:$G$45,2,FALSE)=0,"",VLOOKUP($A31,WoodfordW!$A$40:$G$45,2,FALSE))</f>
        <v>Dahl, David</v>
      </c>
      <c r="Q31" s="99" t="str">
        <f>IF(VLOOKUP($A31,WoodfordW!$A$40:$G$45,3,FALSE)=0,"",VLOOKUP($A31,WoodfordW!$A$40:$G$45,3,FALSE))</f>
        <v>OF</v>
      </c>
      <c r="R31" s="99" t="str">
        <f>IF(VLOOKUP($A31,WoodfordW!$A$40:$G$45,4,FALSE)=0,"",VLOOKUP($A31,WoodfordW!$A$40:$G$45,4,FALSE))</f>
        <v>Col</v>
      </c>
      <c r="S31" s="99" t="str">
        <f>IF(VLOOKUP($A31,WoodfordW!$A$40:$G$45,5,FALSE)=0,"",VLOOKUP($A31,WoodfordW!$A$40:$G$45,5,FALSE))</f>
        <v>M15</v>
      </c>
      <c r="T31" s="100">
        <f>IF(VLOOKUP($A31,WoodfordW!$A$40:$G$45,6,FALSE)=0,"",VLOOKUP($A31,WoodfordW!$A$40:$G$45,6,FALSE))</f>
        <v>4</v>
      </c>
      <c r="U31" s="101">
        <f>IF(VLOOKUP($A31,WoodfordW!$A$40:$G$45,7,FALSE)=0,"",VLOOKUP($A31,WoodfordW!$A$40:$G$45,7,FALSE))</f>
        <v>2019</v>
      </c>
    </row>
    <row r="32" spans="1:21" ht="12.75">
      <c r="A32" s="97">
        <v>3</v>
      </c>
      <c r="B32" s="98" t="str">
        <f>IF(VLOOKUP($A32,Chaplin!$A$40:$G$45,2,FALSE)=0,"",VLOOKUP($A32,Chaplin!$A$40:$G$45,2,FALSE))</f>
        <v>Bundy, Dylan</v>
      </c>
      <c r="C32" s="99" t="str">
        <f>IF(VLOOKUP($A32,Chaplin!$A$40:$G$45,3,FALSE)=0,"",VLOOKUP($A32,Chaplin!$A$40:$G$45,3,FALSE))</f>
        <v>SP</v>
      </c>
      <c r="D32" s="99" t="str">
        <f>IF(VLOOKUP($A32,Chaplin!$A$40:$G$45,4,FALSE)=0,"",VLOOKUP($A32,Chaplin!$A$40:$G$45,4,FALSE))</f>
        <v>Bal</v>
      </c>
      <c r="E32" s="99" t="str">
        <f>IF(VLOOKUP($A32,Chaplin!$A$40:$G$45,5,FALSE)=0,"",VLOOKUP($A32,Chaplin!$A$40:$G$45,5,FALSE))</f>
        <v>M12</v>
      </c>
      <c r="F32" s="100">
        <f>IF(VLOOKUP($A32,Chaplin!$A$40:$G$45,6,FALSE)=0,"",VLOOKUP($A32,Chaplin!$A$40:$G$45,6,FALSE))</f>
        <v>6.2</v>
      </c>
      <c r="G32" s="101">
        <f>IF(VLOOKUP($A32,Chaplin!$A$40:$G$45,7,FALSE)=0,"",VLOOKUP($A32,Chaplin!$A$40:$G$45,7,FALSE))</f>
        <v>2016</v>
      </c>
      <c r="H32" s="97">
        <v>3</v>
      </c>
      <c r="I32" s="98" t="str">
        <f>IF(VLOOKUP($A32,Rittenhouse!$A$40:$G$45,2,FALSE)=0,"",VLOOKUP($A32,Rittenhouse!$A$40:$G$45,2,FALSE))</f>
        <v>Olt, Mike</v>
      </c>
      <c r="J32" s="99" t="str">
        <f>IF(VLOOKUP($A32,Rittenhouse!$A$40:$G$45,3,FALSE)=0,"",VLOOKUP($A32,Rittenhouse!$A$40:$G$45,3,FALSE))</f>
        <v>1B</v>
      </c>
      <c r="K32" s="99" t="str">
        <f>IF(VLOOKUP($A32,Rittenhouse!$A$40:$G$45,4,FALSE)=0,"",VLOOKUP($A32,Rittenhouse!$A$40:$G$45,4,FALSE))</f>
        <v>Tex</v>
      </c>
      <c r="L32" s="99" t="str">
        <f>IF(VLOOKUP($A32,Rittenhouse!$A$40:$G$45,5,FALSE)=0,"",VLOOKUP($A32,Rittenhouse!$A$40:$G$45,5,FALSE))</f>
        <v>M13</v>
      </c>
      <c r="M32" s="100">
        <f>IF(VLOOKUP($A32,Rittenhouse!$A$40:$G$45,6,FALSE)=0,"",VLOOKUP($A32,Rittenhouse!$A$40:$G$45,6,FALSE))</f>
        <v>5.75</v>
      </c>
      <c r="N32" s="101">
        <f>IF(VLOOKUP($A32,Rittenhouse!$A$40:$G$45,7,FALSE)=0,"",VLOOKUP($A32,Rittenhouse!$A$40:$G$45,7,FALSE))</f>
        <v>2017</v>
      </c>
      <c r="O32" s="97">
        <v>3</v>
      </c>
      <c r="P32" s="98" t="str">
        <f>IF(VLOOKUP($A32,WoodfordW!$A$40:$G$45,2,FALSE)=0,"",VLOOKUP($A32,WoodfordW!$A$40:$G$45,2,FALSE))</f>
        <v>Duffy, Danny</v>
      </c>
      <c r="Q32" s="99" t="str">
        <f>IF(VLOOKUP($A32,WoodfordW!$A$40:$G$45,3,FALSE)=0,"",VLOOKUP($A32,WoodfordW!$A$40:$G$45,3,FALSE))</f>
        <v>SP</v>
      </c>
      <c r="R32" s="99" t="str">
        <f>IF(VLOOKUP($A32,WoodfordW!$A$40:$G$45,4,FALSE)=0,"",VLOOKUP($A32,WoodfordW!$A$40:$G$45,4,FALSE))</f>
        <v>KC</v>
      </c>
      <c r="S32" s="99" t="str">
        <f>IF(VLOOKUP($A32,WoodfordW!$A$40:$G$45,5,FALSE)=0,"",VLOOKUP($A32,WoodfordW!$A$40:$G$45,5,FALSE))</f>
        <v>M14</v>
      </c>
      <c r="T32" s="100">
        <f>IF(VLOOKUP($A32,WoodfordW!$A$40:$G$45,6,FALSE)=0,"",VLOOKUP($A32,WoodfordW!$A$40:$G$45,6,FALSE))</f>
        <v>4.05</v>
      </c>
      <c r="U32" s="101">
        <f>IF(VLOOKUP($A32,WoodfordW!$A$40:$G$45,7,FALSE)=0,"",VLOOKUP($A32,WoodfordW!$A$40:$G$45,7,FALSE))</f>
        <v>2018</v>
      </c>
    </row>
    <row r="33" spans="1:21" ht="12.75">
      <c r="A33" s="97">
        <v>4</v>
      </c>
      <c r="B33" s="98">
        <f>IF(VLOOKUP($A33,Chaplin!$A$40:$G$45,2,FALSE)=0,"",VLOOKUP($A33,Chaplin!$A$40:$G$45,2,FALSE))</f>
      </c>
      <c r="C33" s="99">
        <f>IF(VLOOKUP($A33,Chaplin!$A$40:$G$45,3,FALSE)=0,"",VLOOKUP($A33,Chaplin!$A$40:$G$45,3,FALSE))</f>
      </c>
      <c r="D33" s="99">
        <f>IF(VLOOKUP($A33,Chaplin!$A$40:$G$45,4,FALSE)=0,"",VLOOKUP($A33,Chaplin!$A$40:$G$45,4,FALSE))</f>
      </c>
      <c r="E33" s="99">
        <f>IF(VLOOKUP($A33,Chaplin!$A$40:$G$45,5,FALSE)=0,"",VLOOKUP($A33,Chaplin!$A$40:$G$45,5,FALSE))</f>
      </c>
      <c r="F33" s="100">
        <f>IF(VLOOKUP($A33,Chaplin!$A$40:$G$45,6,FALSE)=0,"",VLOOKUP($A33,Chaplin!$A$40:$G$45,6,FALSE))</f>
      </c>
      <c r="G33" s="101">
        <f>IF(VLOOKUP($A33,Chaplin!$A$40:$G$45,7,FALSE)=0,"",VLOOKUP($A33,Chaplin!$A$40:$G$45,7,FALSE))</f>
      </c>
      <c r="H33" s="97">
        <v>4</v>
      </c>
      <c r="I33" s="98" t="str">
        <f>IF(VLOOKUP($A33,Rittenhouse!$A$40:$G$45,2,FALSE)=0,"",VLOOKUP($A33,Rittenhouse!$A$40:$G$45,2,FALSE))</f>
        <v>Baez, Javier</v>
      </c>
      <c r="J33" s="99" t="str">
        <f>IF(VLOOKUP($A33,Rittenhouse!$A$40:$G$45,3,FALSE)=0,"",VLOOKUP($A33,Rittenhouse!$A$40:$G$45,3,FALSE))</f>
        <v>SS</v>
      </c>
      <c r="K33" s="99" t="str">
        <f>IF(VLOOKUP($A33,Rittenhouse!$A$40:$G$45,4,FALSE)=0,"",VLOOKUP($A33,Rittenhouse!$A$40:$G$45,4,FALSE))</f>
        <v>ChC</v>
      </c>
      <c r="L33" s="99" t="str">
        <f>IF(VLOOKUP($A33,Rittenhouse!$A$40:$G$45,5,FALSE)=0,"",VLOOKUP($A33,Rittenhouse!$A$40:$G$45,5,FALSE))</f>
        <v>M13</v>
      </c>
      <c r="M33" s="100">
        <f>IF(VLOOKUP($A33,Rittenhouse!$A$40:$G$45,6,FALSE)=0,"",VLOOKUP($A33,Rittenhouse!$A$40:$G$45,6,FALSE))</f>
        <v>5.75</v>
      </c>
      <c r="N33" s="101">
        <f>IF(VLOOKUP($A33,Rittenhouse!$A$40:$G$45,7,FALSE)=0,"",VLOOKUP($A33,Rittenhouse!$A$40:$G$45,7,FALSE))</f>
        <v>2017</v>
      </c>
      <c r="O33" s="97">
        <v>4</v>
      </c>
      <c r="P33" s="98" t="str">
        <f>IF(VLOOKUP($A33,WoodfordW!$A$40:$G$45,2,FALSE)=0,"",VLOOKUP($A33,WoodfordW!$A$40:$G$45,2,FALSE))</f>
        <v>Hamilton, Billy</v>
      </c>
      <c r="Q33" s="99" t="str">
        <f>IF(VLOOKUP($A33,WoodfordW!$A$40:$G$45,3,FALSE)=0,"",VLOOKUP($A33,WoodfordW!$A$40:$G$45,3,FALSE))</f>
        <v>OF</v>
      </c>
      <c r="R33" s="99" t="str">
        <f>IF(VLOOKUP($A33,WoodfordW!$A$40:$G$45,4,FALSE)=0,"",VLOOKUP($A33,WoodfordW!$A$40:$G$45,4,FALSE))</f>
        <v>Cin</v>
      </c>
      <c r="S33" s="99" t="str">
        <f>IF(VLOOKUP($A33,WoodfordW!$A$40:$G$45,5,FALSE)=0,"",VLOOKUP($A33,WoodfordW!$A$40:$G$45,5,FALSE))</f>
        <v>M13</v>
      </c>
      <c r="T33" s="100">
        <f>IF(VLOOKUP($A33,WoodfordW!$A$40:$G$45,6,FALSE)=0,"",VLOOKUP($A33,WoodfordW!$A$40:$G$45,6,FALSE))</f>
        <v>6.75</v>
      </c>
      <c r="U33" s="101">
        <f>IF(VLOOKUP($A33,WoodfordW!$A$40:$G$45,7,FALSE)=0,"",VLOOKUP($A33,WoodfordW!$A$40:$G$45,7,FALSE))</f>
        <v>2017</v>
      </c>
    </row>
    <row r="34" spans="1:21" ht="12.75">
      <c r="A34" s="97">
        <v>5</v>
      </c>
      <c r="B34" s="98">
        <f>IF(VLOOKUP($A34,Chaplin!$A$40:$G$45,2,FALSE)=0,"",VLOOKUP($A34,Chaplin!$A$40:$G$45,2,FALSE))</f>
      </c>
      <c r="C34" s="99">
        <f>IF(VLOOKUP($A34,Chaplin!$A$40:$G$45,3,FALSE)=0,"",VLOOKUP($A34,Chaplin!$A$40:$G$45,3,FALSE))</f>
      </c>
      <c r="D34" s="99">
        <f>IF(VLOOKUP($A34,Chaplin!$A$40:$G$45,4,FALSE)=0,"",VLOOKUP($A34,Chaplin!$A$40:$G$45,4,FALSE))</f>
      </c>
      <c r="E34" s="99">
        <f>IF(VLOOKUP($A34,Chaplin!$A$40:$G$45,5,FALSE)=0,"",VLOOKUP($A34,Chaplin!$A$40:$G$45,5,FALSE))</f>
      </c>
      <c r="F34" s="100">
        <f>IF(VLOOKUP($A34,Chaplin!$A$40:$G$45,6,FALSE)=0,"",VLOOKUP($A34,Chaplin!$A$40:$G$45,6,FALSE))</f>
      </c>
      <c r="G34" s="101">
        <f>IF(VLOOKUP($A34,Chaplin!$A$40:$G$45,7,FALSE)=0,"",VLOOKUP($A34,Chaplin!$A$40:$G$45,7,FALSE))</f>
      </c>
      <c r="H34" s="97">
        <v>5</v>
      </c>
      <c r="I34" s="98" t="str">
        <f>IF(VLOOKUP($A34,Rittenhouse!$A$40:$G$45,2,FALSE)=0,"",VLOOKUP($A34,Rittenhouse!$A$40:$G$45,2,FALSE))</f>
        <v>Cook, Ryan</v>
      </c>
      <c r="J34" s="99" t="str">
        <f>IF(VLOOKUP($A34,Rittenhouse!$A$40:$G$45,3,FALSE)=0,"",VLOOKUP($A34,Rittenhouse!$A$40:$G$45,3,FALSE))</f>
        <v>RP</v>
      </c>
      <c r="K34" s="99" t="str">
        <f>IF(VLOOKUP($A34,Rittenhouse!$A$40:$G$45,4,FALSE)=0,"",VLOOKUP($A34,Rittenhouse!$A$40:$G$45,4,FALSE))</f>
        <v>Oak</v>
      </c>
      <c r="L34" s="99" t="str">
        <f>IF(VLOOKUP($A34,Rittenhouse!$A$40:$G$45,5,FALSE)=0,"",VLOOKUP($A34,Rittenhouse!$A$40:$G$45,5,FALSE))</f>
        <v>A13</v>
      </c>
      <c r="M34" s="100">
        <f>IF(VLOOKUP($A34,Rittenhouse!$A$40:$G$45,6,FALSE)=0,"",VLOOKUP($A34,Rittenhouse!$A$40:$G$45,6,FALSE))</f>
        <v>3.55</v>
      </c>
      <c r="N34" s="101">
        <f>IF(VLOOKUP($A34,Rittenhouse!$A$40:$G$45,7,FALSE)=0,"",VLOOKUP($A34,Rittenhouse!$A$40:$G$45,7,FALSE))</f>
        <v>2017</v>
      </c>
      <c r="O34" s="97">
        <v>5</v>
      </c>
      <c r="P34" s="98">
        <f>IF(VLOOKUP($A34,WoodfordW!$A$40:$G$45,2,FALSE)=0,"",VLOOKUP($A34,WoodfordW!$A$40:$G$45,2,FALSE))</f>
      </c>
      <c r="Q34" s="99">
        <f>IF(VLOOKUP($A34,WoodfordW!$A$40:$G$45,3,FALSE)=0,"",VLOOKUP($A34,WoodfordW!$A$40:$G$45,3,FALSE))</f>
      </c>
      <c r="R34" s="99">
        <f>IF(VLOOKUP($A34,WoodfordW!$A$40:$G$45,4,FALSE)=0,"",VLOOKUP($A34,WoodfordW!$A$40:$G$45,4,FALSE))</f>
      </c>
      <c r="S34" s="99">
        <f>IF(VLOOKUP($A34,WoodfordW!$A$40:$G$45,5,FALSE)=0,"",VLOOKUP($A34,WoodfordW!$A$40:$G$45,5,FALSE))</f>
      </c>
      <c r="T34" s="100">
        <f>IF(VLOOKUP($A34,WoodfordW!$A$40:$G$45,6,FALSE)=0,"",VLOOKUP($A34,WoodfordW!$A$40:$G$45,6,FALSE))</f>
      </c>
      <c r="U34" s="101">
        <f>IF(VLOOKUP($A34,WoodfordW!$A$40:$G$45,7,FALSE)=0,"",VLOOKUP($A34,WoodfordW!$A$40:$G$45,7,FALSE))</f>
      </c>
    </row>
    <row r="35" spans="1:21" ht="13.5" thickBot="1">
      <c r="A35" s="102">
        <v>6</v>
      </c>
      <c r="B35" s="103">
        <f>IF(VLOOKUP($A35,Chaplin!$A$40:$G$45,2,FALSE)=0,"",VLOOKUP($A35,Chaplin!$A$40:$G$45,2,FALSE))</f>
      </c>
      <c r="C35" s="104">
        <f>IF(VLOOKUP($A35,Chaplin!$A$40:$G$45,3,FALSE)=0,"",VLOOKUP($A35,Chaplin!$A$40:$G$45,3,FALSE))</f>
      </c>
      <c r="D35" s="104">
        <f>IF(VLOOKUP($A35,Chaplin!$A$40:$G$45,4,FALSE)=0,"",VLOOKUP($A35,Chaplin!$A$40:$G$45,4,FALSE))</f>
      </c>
      <c r="E35" s="104">
        <f>IF(VLOOKUP($A35,Chaplin!$A$40:$G$45,5,FALSE)=0,"",VLOOKUP($A35,Chaplin!$A$40:$G$45,5,FALSE))</f>
      </c>
      <c r="F35" s="105">
        <f>IF(VLOOKUP($A35,Chaplin!$A$40:$G$45,6,FALSE)=0,"",VLOOKUP($A35,Chaplin!$A$40:$G$45,6,FALSE))</f>
      </c>
      <c r="G35" s="106">
        <f>IF(VLOOKUP($A35,Chaplin!$A$40:$G$45,7,FALSE)=0,"",VLOOKUP($A35,Chaplin!$A$40:$G$45,7,FALSE))</f>
      </c>
      <c r="H35" s="102">
        <v>6</v>
      </c>
      <c r="I35" s="103" t="str">
        <f>IF(VLOOKUP($A35,Rittenhouse!$A$40:$G$45,2,FALSE)=0,"",VLOOKUP($A35,Rittenhouse!$A$40:$G$45,2,FALSE))</f>
        <v>Montero, Jesus</v>
      </c>
      <c r="J35" s="104" t="str">
        <f>IF(VLOOKUP($A35,Rittenhouse!$A$40:$G$45,3,FALSE)=0,"",VLOOKUP($A35,Rittenhouse!$A$40:$G$45,3,FALSE))</f>
        <v>C</v>
      </c>
      <c r="K35" s="104" t="str">
        <f>IF(VLOOKUP($A35,Rittenhouse!$A$40:$G$45,4,FALSE)=0,"",VLOOKUP($A35,Rittenhouse!$A$40:$G$45,4,FALSE))</f>
        <v>NYY</v>
      </c>
      <c r="L35" s="104" t="str">
        <f>IF(VLOOKUP($A35,Rittenhouse!$A$40:$G$45,5,FALSE)=0,"",VLOOKUP($A35,Rittenhouse!$A$40:$G$45,5,FALSE))</f>
        <v>M11</v>
      </c>
      <c r="M35" s="105">
        <f>IF(VLOOKUP($A35,Rittenhouse!$A$40:$G$45,6,FALSE)=0,"",VLOOKUP($A35,Rittenhouse!$A$40:$G$45,6,FALSE))</f>
        <v>7.25</v>
      </c>
      <c r="N35" s="106">
        <f>IF(VLOOKUP($A35,Rittenhouse!$A$40:$G$45,7,FALSE)=0,"",VLOOKUP($A35,Rittenhouse!$A$40:$G$45,7,FALSE))</f>
        <v>2015</v>
      </c>
      <c r="O35" s="102">
        <v>6</v>
      </c>
      <c r="P35" s="103">
        <f>IF(VLOOKUP($A35,WoodfordW!$A$40:$G$45,2,FALSE)=0,"",VLOOKUP($A35,WoodfordW!$A$40:$G$45,2,FALSE))</f>
      </c>
      <c r="Q35" s="104">
        <f>IF(VLOOKUP($A35,WoodfordW!$A$40:$G$45,3,FALSE)=0,"",VLOOKUP($A35,WoodfordW!$A$40:$G$45,3,FALSE))</f>
      </c>
      <c r="R35" s="104">
        <f>IF(VLOOKUP($A35,WoodfordW!$A$40:$G$45,4,FALSE)=0,"",VLOOKUP($A35,WoodfordW!$A$40:$G$45,4,FALSE))</f>
      </c>
      <c r="S35" s="104">
        <f>IF(VLOOKUP($A35,WoodfordW!$A$40:$G$45,5,FALSE)=0,"",VLOOKUP($A35,WoodfordW!$A$40:$G$45,5,FALSE))</f>
      </c>
      <c r="T35" s="105">
        <f>IF(VLOOKUP($A35,WoodfordW!$A$40:$G$45,6,FALSE)=0,"",VLOOKUP($A35,WoodfordW!$A$40:$G$45,6,FALSE))</f>
      </c>
      <c r="U35" s="106">
        <f>IF(VLOOKUP($A35,WoodfordW!$A$40:$G$45,7,FALSE)=0,"",VLOOKUP($A35,WoodfordW!$A$40:$G$45,7,FALSE))</f>
      </c>
    </row>
    <row r="36" spans="1:21" ht="12.75">
      <c r="A36" s="135" t="s">
        <v>470</v>
      </c>
      <c r="B36" s="136"/>
      <c r="C36" s="136"/>
      <c r="D36" s="136"/>
      <c r="E36" s="136"/>
      <c r="F36" s="136"/>
      <c r="G36" s="137"/>
      <c r="H36" s="138"/>
      <c r="I36" s="139"/>
      <c r="J36" s="139"/>
      <c r="K36" s="139"/>
      <c r="L36" s="139"/>
      <c r="M36" s="139"/>
      <c r="N36" s="139"/>
      <c r="O36" s="138"/>
      <c r="P36" s="139"/>
      <c r="Q36" s="139"/>
      <c r="R36" s="139"/>
      <c r="S36" s="139"/>
      <c r="T36" s="139"/>
      <c r="U36" s="139"/>
    </row>
    <row r="37" spans="1:21" ht="12.75">
      <c r="A37" s="97">
        <v>1</v>
      </c>
      <c r="B37" s="98" t="str">
        <f>IF(VLOOKUP($A37,Chockalingam!$A$40:$G$45,2,FALSE)=0,"",VLOOKUP($A37,Chockalingam!$A$40:$G$45,2,FALSE))</f>
        <v>Skaggs, Tyler</v>
      </c>
      <c r="C37" s="99" t="str">
        <f>IF(VLOOKUP($A37,Chockalingam!$A$40:$G$45,3,FALSE)=0,"",VLOOKUP($A37,Chockalingam!$A$40:$G$45,3,FALSE))</f>
        <v>SP</v>
      </c>
      <c r="D37" s="99" t="str">
        <f>IF(VLOOKUP($A37,Chockalingam!$A$40:$G$45,4,FALSE)=0,"",VLOOKUP($A37,Chockalingam!$A$40:$G$45,4,FALSE))</f>
        <v>Ari</v>
      </c>
      <c r="E37" s="99" t="str">
        <f>IF(VLOOKUP($A37,Chockalingam!$A$40:$G$45,5,FALSE)=0,"",VLOOKUP($A37,Chockalingam!$A$40:$G$45,5,FALSE))</f>
        <v>M12</v>
      </c>
      <c r="F37" s="100">
        <f>IF(VLOOKUP($A37,Chockalingam!$A$40:$G$45,6,FALSE)=0,"",VLOOKUP($A37,Chockalingam!$A$40:$G$45,6,FALSE))</f>
        <v>6.1</v>
      </c>
      <c r="G37" s="101">
        <f>IF(VLOOKUP($A37,Chockalingam!$A$40:$G$45,7,FALSE)=0,"",VLOOKUP($A37,Chockalingam!$A$40:$G$45,7,FALSE))</f>
        <v>2016</v>
      </c>
      <c r="H37" s="124"/>
      <c r="I37" s="98"/>
      <c r="J37" s="99"/>
      <c r="K37" s="99"/>
      <c r="L37" s="99"/>
      <c r="M37" s="100"/>
      <c r="N37" s="99"/>
      <c r="O37" s="93"/>
      <c r="P37" s="94"/>
      <c r="Q37" s="95"/>
      <c r="R37" s="95"/>
      <c r="S37" s="95"/>
      <c r="T37" s="96"/>
      <c r="U37" s="95"/>
    </row>
    <row r="38" spans="1:21" ht="12.75">
      <c r="A38" s="97">
        <v>2</v>
      </c>
      <c r="B38" s="98" t="str">
        <f>IF(VLOOKUP($A38,Chockalingam!$A$40:$G$45,2,FALSE)=0,"",VLOOKUP($A38,Chockalingam!$A$40:$G$45,2,FALSE))</f>
        <v>Kintzler, Brandon</v>
      </c>
      <c r="C38" s="99" t="str">
        <f>IF(VLOOKUP($A38,Chockalingam!$A$40:$G$45,3,FALSE)=0,"",VLOOKUP($A38,Chockalingam!$A$40:$G$45,3,FALSE))</f>
        <v>RP</v>
      </c>
      <c r="D38" s="99" t="str">
        <f>IF(VLOOKUP($A38,Chockalingam!$A$40:$G$45,4,FALSE)=0,"",VLOOKUP($A38,Chockalingam!$A$40:$G$45,4,FALSE))</f>
        <v>Mil</v>
      </c>
      <c r="E38" s="99" t="str">
        <f>IF(VLOOKUP($A38,Chockalingam!$A$40:$G$45,5,FALSE)=0,"",VLOOKUP($A38,Chockalingam!$A$40:$G$45,5,FALSE))</f>
        <v>FA</v>
      </c>
      <c r="F38" s="100">
        <f>IF(VLOOKUP($A38,Chockalingam!$A$40:$G$45,6,FALSE)=0,"",VLOOKUP($A38,Chockalingam!$A$40:$G$45,6,FALSE))</f>
        <v>1.55</v>
      </c>
      <c r="G38" s="101">
        <f>IF(VLOOKUP($A38,Chockalingam!$A$40:$G$45,7,FALSE)=0,"",VLOOKUP($A38,Chockalingam!$A$40:$G$45,7,FALSE))</f>
        <v>2016</v>
      </c>
      <c r="H38" s="124"/>
      <c r="I38" s="98"/>
      <c r="J38" s="99"/>
      <c r="K38" s="99"/>
      <c r="L38" s="99"/>
      <c r="M38" s="100"/>
      <c r="N38" s="99"/>
      <c r="O38" s="93"/>
      <c r="P38" s="94"/>
      <c r="Q38" s="95"/>
      <c r="R38" s="95"/>
      <c r="S38" s="95"/>
      <c r="T38" s="96"/>
      <c r="U38" s="95"/>
    </row>
    <row r="39" spans="1:21" ht="12.75">
      <c r="A39" s="97">
        <v>3</v>
      </c>
      <c r="B39" s="98" t="str">
        <f>IF(VLOOKUP($A39,Chockalingam!$A$40:$G$45,2,FALSE)=0,"",VLOOKUP($A39,Chockalingam!$A$40:$G$45,2,FALSE))</f>
        <v>Rutledge, Josh</v>
      </c>
      <c r="C39" s="99" t="str">
        <f>IF(VLOOKUP($A39,Chockalingam!$A$40:$G$45,3,FALSE)=0,"",VLOOKUP($A39,Chockalingam!$A$40:$G$45,3,FALSE))</f>
        <v>2B</v>
      </c>
      <c r="D39" s="99" t="str">
        <f>IF(VLOOKUP($A39,Chockalingam!$A$40:$G$45,4,FALSE)=0,"",VLOOKUP($A39,Chockalingam!$A$40:$G$45,4,FALSE))</f>
        <v>LAA</v>
      </c>
      <c r="E39" s="99" t="str">
        <f>IF(VLOOKUP($A39,Chockalingam!$A$40:$G$45,5,FALSE)=0,"",VLOOKUP($A39,Chockalingam!$A$40:$G$45,5,FALSE))</f>
        <v>FA</v>
      </c>
      <c r="F39" s="100">
        <f>IF(VLOOKUP($A39,Chockalingam!$A$40:$G$45,6,FALSE)=0,"",VLOOKUP($A39,Chockalingam!$A$40:$G$45,6,FALSE))</f>
        <v>4.25</v>
      </c>
      <c r="G39" s="101">
        <f>IF(VLOOKUP($A39,Chockalingam!$A$40:$G$45,7,FALSE)=0,"",VLOOKUP($A39,Chockalingam!$A$40:$G$45,7,FALSE))</f>
        <v>2015</v>
      </c>
      <c r="H39" s="124"/>
      <c r="I39" s="98"/>
      <c r="J39" s="99"/>
      <c r="K39" s="99"/>
      <c r="L39" s="99"/>
      <c r="M39" s="100"/>
      <c r="N39" s="99"/>
      <c r="O39" s="93"/>
      <c r="P39" s="94"/>
      <c r="Q39" s="95"/>
      <c r="R39" s="95"/>
      <c r="S39" s="95"/>
      <c r="T39" s="96"/>
      <c r="U39" s="95"/>
    </row>
    <row r="40" spans="1:21" ht="12.75">
      <c r="A40" s="97">
        <v>4</v>
      </c>
      <c r="B40" s="98">
        <f>IF(VLOOKUP($A40,Chockalingam!$A$40:$G$45,2,FALSE)=0,"",VLOOKUP($A40,Chockalingam!$A$40:$G$45,2,FALSE))</f>
      </c>
      <c r="C40" s="99">
        <f>IF(VLOOKUP($A40,Chockalingam!$A$40:$G$45,3,FALSE)=0,"",VLOOKUP($A40,Chockalingam!$A$40:$G$45,3,FALSE))</f>
      </c>
      <c r="D40" s="99">
        <f>IF(VLOOKUP($A40,Chockalingam!$A$40:$G$45,4,FALSE)=0,"",VLOOKUP($A40,Chockalingam!$A$40:$G$45,4,FALSE))</f>
      </c>
      <c r="E40" s="99">
        <f>IF(VLOOKUP($A40,Chockalingam!$A$40:$G$45,5,FALSE)=0,"",VLOOKUP($A40,Chockalingam!$A$40:$G$45,5,FALSE))</f>
      </c>
      <c r="F40" s="100">
        <f>IF(VLOOKUP($A40,Chockalingam!$A$40:$G$45,6,FALSE)=0,"",VLOOKUP($A40,Chockalingam!$A$40:$G$45,6,FALSE))</f>
      </c>
      <c r="G40" s="101">
        <f>IF(VLOOKUP($A40,Chockalingam!$A$40:$G$45,7,FALSE)=0,"",VLOOKUP($A40,Chockalingam!$A$40:$G$45,7,FALSE))</f>
      </c>
      <c r="H40" s="124"/>
      <c r="I40" s="98"/>
      <c r="J40" s="99"/>
      <c r="K40" s="99"/>
      <c r="L40" s="99"/>
      <c r="M40" s="100"/>
      <c r="N40" s="99"/>
      <c r="O40" s="93"/>
      <c r="P40" s="94"/>
      <c r="Q40" s="95"/>
      <c r="R40" s="95"/>
      <c r="S40" s="95"/>
      <c r="T40" s="96"/>
      <c r="U40" s="95"/>
    </row>
    <row r="41" spans="1:21" ht="12.75">
      <c r="A41" s="97">
        <v>5</v>
      </c>
      <c r="B41" s="98">
        <f>IF(VLOOKUP($A41,Chockalingam!$A$40:$G$45,2,FALSE)=0,"",VLOOKUP($A41,Chockalingam!$A$40:$G$45,2,FALSE))</f>
      </c>
      <c r="C41" s="99">
        <f>IF(VLOOKUP($A41,Chockalingam!$A$40:$G$45,3,FALSE)=0,"",VLOOKUP($A41,Chockalingam!$A$40:$G$45,3,FALSE))</f>
      </c>
      <c r="D41" s="99">
        <f>IF(VLOOKUP($A41,Chockalingam!$A$40:$G$45,4,FALSE)=0,"",VLOOKUP($A41,Chockalingam!$A$40:$G$45,4,FALSE))</f>
      </c>
      <c r="E41" s="99">
        <f>IF(VLOOKUP($A41,Chockalingam!$A$40:$G$45,5,FALSE)=0,"",VLOOKUP($A41,Chockalingam!$A$40:$G$45,5,FALSE))</f>
      </c>
      <c r="F41" s="100">
        <f>IF(VLOOKUP($A41,Chockalingam!$A$40:$G$45,6,FALSE)=0,"",VLOOKUP($A41,Chockalingam!$A$40:$G$45,6,FALSE))</f>
      </c>
      <c r="G41" s="101">
        <f>IF(VLOOKUP($A41,Chockalingam!$A$40:$G$45,7,FALSE)=0,"",VLOOKUP($A41,Chockalingam!$A$40:$G$45,7,FALSE))</f>
      </c>
      <c r="H41" s="124"/>
      <c r="I41" s="98"/>
      <c r="J41" s="99"/>
      <c r="K41" s="99"/>
      <c r="L41" s="99"/>
      <c r="M41" s="100"/>
      <c r="N41" s="99"/>
      <c r="O41" s="93"/>
      <c r="P41" s="94"/>
      <c r="Q41" s="95"/>
      <c r="R41" s="95"/>
      <c r="S41" s="95"/>
      <c r="T41" s="96"/>
      <c r="U41" s="95"/>
    </row>
    <row r="42" spans="1:21" ht="13.5" thickBot="1">
      <c r="A42" s="102">
        <v>6</v>
      </c>
      <c r="B42" s="103">
        <f>IF(VLOOKUP($A42,Chockalingam!$A$40:$G$45,2,FALSE)=0,"",VLOOKUP($A42,Chockalingam!$A$40:$G$45,2,FALSE))</f>
      </c>
      <c r="C42" s="104">
        <f>IF(VLOOKUP($A42,Chockalingam!$A$40:$G$45,3,FALSE)=0,"",VLOOKUP($A42,Chockalingam!$A$40:$G$45,3,FALSE))</f>
      </c>
      <c r="D42" s="104">
        <f>IF(VLOOKUP($A42,Chockalingam!$A$40:$G$45,4,FALSE)=0,"",VLOOKUP($A42,Chockalingam!$A$40:$G$45,4,FALSE))</f>
      </c>
      <c r="E42" s="104">
        <f>IF(VLOOKUP($A42,Chockalingam!$A$40:$G$45,5,FALSE)=0,"",VLOOKUP($A42,Chockalingam!$A$40:$G$45,5,FALSE))</f>
      </c>
      <c r="F42" s="105">
        <f>IF(VLOOKUP($A42,Chockalingam!$A$40:$G$45,6,FALSE)=0,"",VLOOKUP($A42,Chockalingam!$A$40:$G$45,6,FALSE))</f>
      </c>
      <c r="G42" s="106">
        <f>IF(VLOOKUP($A42,Chockalingam!$A$40:$G$45,7,FALSE)=0,"",VLOOKUP($A42,Chockalingam!$A$40:$G$45,7,FALSE))</f>
      </c>
      <c r="H42" s="124"/>
      <c r="I42" s="98"/>
      <c r="J42" s="99"/>
      <c r="K42" s="99"/>
      <c r="L42" s="99"/>
      <c r="M42" s="100"/>
      <c r="N42" s="99"/>
      <c r="O42" s="93"/>
      <c r="P42" s="94"/>
      <c r="Q42" s="95"/>
      <c r="R42" s="95"/>
      <c r="S42" s="95"/>
      <c r="T42" s="96"/>
      <c r="U42" s="95"/>
    </row>
  </sheetData>
  <sheetProtection/>
  <mergeCells count="18">
    <mergeCell ref="O1:U1"/>
    <mergeCell ref="O8:U8"/>
    <mergeCell ref="O15:U15"/>
    <mergeCell ref="O22:U22"/>
    <mergeCell ref="O29:U29"/>
    <mergeCell ref="O36:U36"/>
    <mergeCell ref="A36:G36"/>
    <mergeCell ref="H8:N8"/>
    <mergeCell ref="H15:N15"/>
    <mergeCell ref="H22:N22"/>
    <mergeCell ref="H29:N29"/>
    <mergeCell ref="H36:N36"/>
    <mergeCell ref="H1:N1"/>
    <mergeCell ref="A1:G1"/>
    <mergeCell ref="A8:G8"/>
    <mergeCell ref="A15:G15"/>
    <mergeCell ref="A22:G22"/>
    <mergeCell ref="A29:G2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54" t="s">
        <v>578</v>
      </c>
      <c r="C5" s="56" t="s">
        <v>40</v>
      </c>
      <c r="D5" s="56" t="s">
        <v>34</v>
      </c>
      <c r="E5" s="57" t="s">
        <v>441</v>
      </c>
      <c r="F5" s="21">
        <v>4.15</v>
      </c>
      <c r="G5" s="8">
        <v>2019</v>
      </c>
      <c r="I5" s="23">
        <f aca="true" t="shared" si="0" ref="I5:M14">+IF($G5&gt;=I$3,$F5,0)</f>
        <v>4.15</v>
      </c>
      <c r="J5" s="23">
        <f t="shared" si="0"/>
        <v>4.15</v>
      </c>
      <c r="K5" s="23">
        <f t="shared" si="0"/>
        <v>4.15</v>
      </c>
      <c r="L5" s="23">
        <f t="shared" si="0"/>
        <v>4.15</v>
      </c>
      <c r="M5" s="23">
        <f t="shared" si="0"/>
        <v>4.15</v>
      </c>
    </row>
    <row r="6" spans="1:13" ht="12.75">
      <c r="A6" s="15">
        <v>2</v>
      </c>
      <c r="B6" s="54" t="s">
        <v>484</v>
      </c>
      <c r="C6" s="11" t="s">
        <v>17</v>
      </c>
      <c r="D6" s="11" t="s">
        <v>44</v>
      </c>
      <c r="E6" s="20" t="s">
        <v>441</v>
      </c>
      <c r="F6" s="25">
        <v>12.25</v>
      </c>
      <c r="G6" s="11">
        <v>2018</v>
      </c>
      <c r="I6" s="23">
        <f t="shared" si="0"/>
        <v>12.25</v>
      </c>
      <c r="J6" s="23">
        <f t="shared" si="0"/>
        <v>12.25</v>
      </c>
      <c r="K6" s="23">
        <f t="shared" si="0"/>
        <v>12.25</v>
      </c>
      <c r="L6" s="23">
        <f t="shared" si="0"/>
        <v>12.25</v>
      </c>
      <c r="M6" s="23">
        <f t="shared" si="0"/>
        <v>0</v>
      </c>
    </row>
    <row r="7" spans="1:13" ht="12.75">
      <c r="A7" s="15">
        <v>3</v>
      </c>
      <c r="B7" s="42" t="s">
        <v>351</v>
      </c>
      <c r="C7" s="11" t="s">
        <v>15</v>
      </c>
      <c r="D7" s="11" t="s">
        <v>30</v>
      </c>
      <c r="E7" s="20" t="s">
        <v>435</v>
      </c>
      <c r="F7" s="21">
        <v>8</v>
      </c>
      <c r="G7" s="8">
        <v>2018</v>
      </c>
      <c r="I7" s="23">
        <f t="shared" si="0"/>
        <v>8</v>
      </c>
      <c r="J7" s="23">
        <f t="shared" si="0"/>
        <v>8</v>
      </c>
      <c r="K7" s="23">
        <f t="shared" si="0"/>
        <v>8</v>
      </c>
      <c r="L7" s="23">
        <f t="shared" si="0"/>
        <v>8</v>
      </c>
      <c r="M7" s="23">
        <f t="shared" si="0"/>
        <v>0</v>
      </c>
    </row>
    <row r="8" spans="1:13" ht="12.75">
      <c r="A8" s="15">
        <v>4</v>
      </c>
      <c r="B8" s="10" t="s">
        <v>352</v>
      </c>
      <c r="C8" s="11" t="s">
        <v>18</v>
      </c>
      <c r="D8" s="56" t="s">
        <v>438</v>
      </c>
      <c r="E8" s="11" t="s">
        <v>437</v>
      </c>
      <c r="F8" s="16">
        <v>6.25</v>
      </c>
      <c r="G8" s="17">
        <v>2018</v>
      </c>
      <c r="I8" s="23">
        <f t="shared" si="0"/>
        <v>6.25</v>
      </c>
      <c r="J8" s="23">
        <f t="shared" si="0"/>
        <v>6.25</v>
      </c>
      <c r="K8" s="23">
        <f t="shared" si="0"/>
        <v>6.25</v>
      </c>
      <c r="L8" s="23">
        <f t="shared" si="0"/>
        <v>6.25</v>
      </c>
      <c r="M8" s="23">
        <f t="shared" si="0"/>
        <v>0</v>
      </c>
    </row>
    <row r="9" spans="1:13" ht="12.75">
      <c r="A9" s="15">
        <v>5</v>
      </c>
      <c r="B9" s="10" t="s">
        <v>410</v>
      </c>
      <c r="C9" s="11" t="s">
        <v>19</v>
      </c>
      <c r="D9" s="56" t="s">
        <v>438</v>
      </c>
      <c r="E9" s="20" t="s">
        <v>437</v>
      </c>
      <c r="F9" s="21">
        <v>4.65</v>
      </c>
      <c r="G9" s="8">
        <v>2018</v>
      </c>
      <c r="I9" s="23">
        <f t="shared" si="0"/>
        <v>4.65</v>
      </c>
      <c r="J9" s="23">
        <f t="shared" si="0"/>
        <v>4.65</v>
      </c>
      <c r="K9" s="23">
        <f t="shared" si="0"/>
        <v>4.65</v>
      </c>
      <c r="L9" s="23">
        <f t="shared" si="0"/>
        <v>4.65</v>
      </c>
      <c r="M9" s="23">
        <f t="shared" si="0"/>
        <v>0</v>
      </c>
    </row>
    <row r="10" spans="1:13" ht="12.75">
      <c r="A10" s="15">
        <v>6</v>
      </c>
      <c r="B10" s="54" t="s">
        <v>378</v>
      </c>
      <c r="C10" s="11" t="s">
        <v>17</v>
      </c>
      <c r="D10" s="11" t="s">
        <v>34</v>
      </c>
      <c r="E10" s="20" t="s">
        <v>437</v>
      </c>
      <c r="F10" s="21">
        <v>4.25</v>
      </c>
      <c r="G10" s="8">
        <v>2018</v>
      </c>
      <c r="I10" s="23">
        <f t="shared" si="0"/>
        <v>4.25</v>
      </c>
      <c r="J10" s="23">
        <f t="shared" si="0"/>
        <v>4.25</v>
      </c>
      <c r="K10" s="23">
        <f t="shared" si="0"/>
        <v>4.25</v>
      </c>
      <c r="L10" s="23">
        <f t="shared" si="0"/>
        <v>4.25</v>
      </c>
      <c r="M10" s="23">
        <f t="shared" si="0"/>
        <v>0</v>
      </c>
    </row>
    <row r="11" spans="1:13" ht="12.75">
      <c r="A11" s="15">
        <v>7</v>
      </c>
      <c r="B11" s="54" t="s">
        <v>258</v>
      </c>
      <c r="C11" s="11" t="s">
        <v>17</v>
      </c>
      <c r="D11" s="56" t="s">
        <v>81</v>
      </c>
      <c r="E11" s="20" t="s">
        <v>517</v>
      </c>
      <c r="F11" s="21">
        <v>11</v>
      </c>
      <c r="G11" s="8">
        <v>2017</v>
      </c>
      <c r="I11" s="23">
        <f t="shared" si="0"/>
        <v>11</v>
      </c>
      <c r="J11" s="23">
        <f t="shared" si="0"/>
        <v>11</v>
      </c>
      <c r="K11" s="23">
        <f t="shared" si="0"/>
        <v>11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54" t="s">
        <v>559</v>
      </c>
      <c r="C12" s="56" t="s">
        <v>37</v>
      </c>
      <c r="D12" s="56" t="s">
        <v>22</v>
      </c>
      <c r="E12" s="57" t="s">
        <v>441</v>
      </c>
      <c r="F12" s="21">
        <v>6.7</v>
      </c>
      <c r="G12" s="8">
        <v>2017</v>
      </c>
      <c r="I12" s="23">
        <f t="shared" si="0"/>
        <v>6.7</v>
      </c>
      <c r="J12" s="23">
        <f t="shared" si="0"/>
        <v>6.7</v>
      </c>
      <c r="K12" s="23">
        <f t="shared" si="0"/>
        <v>6.7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54" t="s">
        <v>483</v>
      </c>
      <c r="C13" s="11" t="s">
        <v>19</v>
      </c>
      <c r="D13" s="11" t="s">
        <v>39</v>
      </c>
      <c r="E13" s="20" t="s">
        <v>441</v>
      </c>
      <c r="F13" s="21">
        <v>6.25</v>
      </c>
      <c r="G13" s="8">
        <v>2017</v>
      </c>
      <c r="I13" s="23">
        <f t="shared" si="0"/>
        <v>6.25</v>
      </c>
      <c r="J13" s="23">
        <f t="shared" si="0"/>
        <v>6.25</v>
      </c>
      <c r="K13" s="23">
        <f t="shared" si="0"/>
        <v>6.25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54" t="s">
        <v>316</v>
      </c>
      <c r="C14" s="11" t="s">
        <v>26</v>
      </c>
      <c r="D14" s="11" t="s">
        <v>42</v>
      </c>
      <c r="E14" s="20" t="s">
        <v>517</v>
      </c>
      <c r="F14" s="21">
        <v>3.25</v>
      </c>
      <c r="G14" s="8">
        <v>2017</v>
      </c>
      <c r="I14" s="23">
        <f t="shared" si="0"/>
        <v>3.25</v>
      </c>
      <c r="J14" s="23">
        <f t="shared" si="0"/>
        <v>3.25</v>
      </c>
      <c r="K14" s="23">
        <f t="shared" si="0"/>
        <v>3.25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54" t="s">
        <v>560</v>
      </c>
      <c r="C15" s="56" t="s">
        <v>37</v>
      </c>
      <c r="D15" s="56" t="s">
        <v>52</v>
      </c>
      <c r="E15" s="57" t="s">
        <v>441</v>
      </c>
      <c r="F15" s="21">
        <v>1.7</v>
      </c>
      <c r="G15" s="8">
        <v>2017</v>
      </c>
      <c r="I15" s="23">
        <f aca="true" t="shared" si="1" ref="I15:M24">+IF($G15&gt;=I$3,$F15,0)</f>
        <v>1.7</v>
      </c>
      <c r="J15" s="23">
        <f t="shared" si="1"/>
        <v>1.7</v>
      </c>
      <c r="K15" s="23">
        <f t="shared" si="1"/>
        <v>1.7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54" t="s">
        <v>178</v>
      </c>
      <c r="C16" s="11" t="s">
        <v>17</v>
      </c>
      <c r="D16" s="56" t="s">
        <v>20</v>
      </c>
      <c r="E16" s="57" t="s">
        <v>434</v>
      </c>
      <c r="F16" s="21">
        <v>10.65</v>
      </c>
      <c r="G16" s="8">
        <v>2016</v>
      </c>
      <c r="I16" s="23">
        <f t="shared" si="1"/>
        <v>10.65</v>
      </c>
      <c r="J16" s="23">
        <f t="shared" si="1"/>
        <v>10.65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10" t="s">
        <v>510</v>
      </c>
      <c r="C17" s="11" t="s">
        <v>37</v>
      </c>
      <c r="D17" s="11" t="s">
        <v>88</v>
      </c>
      <c r="E17" s="20" t="s">
        <v>441</v>
      </c>
      <c r="F17" s="21">
        <v>8.7</v>
      </c>
      <c r="G17" s="8">
        <v>2016</v>
      </c>
      <c r="I17" s="23">
        <f t="shared" si="1"/>
        <v>8.7</v>
      </c>
      <c r="J17" s="23">
        <f t="shared" si="1"/>
        <v>8.7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10" t="s">
        <v>377</v>
      </c>
      <c r="C18" s="56" t="s">
        <v>37</v>
      </c>
      <c r="D18" s="56" t="s">
        <v>24</v>
      </c>
      <c r="E18" s="20" t="s">
        <v>437</v>
      </c>
      <c r="F18" s="21">
        <v>6.75</v>
      </c>
      <c r="G18" s="8">
        <v>2016</v>
      </c>
      <c r="I18" s="23">
        <f t="shared" si="1"/>
        <v>6.75</v>
      </c>
      <c r="J18" s="23">
        <f t="shared" si="1"/>
        <v>6.75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10" t="s">
        <v>177</v>
      </c>
      <c r="C19" s="56" t="s">
        <v>17</v>
      </c>
      <c r="D19" s="11" t="s">
        <v>85</v>
      </c>
      <c r="E19" s="20" t="s">
        <v>518</v>
      </c>
      <c r="F19" s="21">
        <v>20.9</v>
      </c>
      <c r="G19" s="8">
        <v>2015</v>
      </c>
      <c r="I19" s="23">
        <f t="shared" si="1"/>
        <v>20.9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4" t="s">
        <v>461</v>
      </c>
      <c r="C20" s="11" t="s">
        <v>31</v>
      </c>
      <c r="D20" s="11" t="s">
        <v>21</v>
      </c>
      <c r="E20" s="20" t="s">
        <v>441</v>
      </c>
      <c r="F20" s="21">
        <v>10.95</v>
      </c>
      <c r="G20" s="8">
        <v>2015</v>
      </c>
      <c r="I20" s="23">
        <f t="shared" si="1"/>
        <v>10.95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10" t="s">
        <v>409</v>
      </c>
      <c r="C21" s="11" t="s">
        <v>17</v>
      </c>
      <c r="D21" s="11" t="s">
        <v>22</v>
      </c>
      <c r="E21" s="20" t="s">
        <v>437</v>
      </c>
      <c r="F21" s="21">
        <v>8.25</v>
      </c>
      <c r="G21" s="8">
        <v>2015</v>
      </c>
      <c r="I21" s="23">
        <f t="shared" si="1"/>
        <v>8.25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54" t="s">
        <v>745</v>
      </c>
      <c r="C22" s="56" t="s">
        <v>18</v>
      </c>
      <c r="D22" s="11" t="s">
        <v>43</v>
      </c>
      <c r="E22" s="20" t="s">
        <v>594</v>
      </c>
      <c r="F22" s="21">
        <v>1.7</v>
      </c>
      <c r="G22" s="8">
        <v>2015</v>
      </c>
      <c r="I22" s="23">
        <f t="shared" si="1"/>
        <v>1.7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4" t="s">
        <v>721</v>
      </c>
      <c r="C23" s="56" t="s">
        <v>17</v>
      </c>
      <c r="D23" s="56" t="s">
        <v>33</v>
      </c>
      <c r="E23" s="57" t="s">
        <v>594</v>
      </c>
      <c r="F23" s="21">
        <v>1.7</v>
      </c>
      <c r="G23" s="8">
        <v>2015</v>
      </c>
      <c r="I23" s="23">
        <f t="shared" si="1"/>
        <v>1.7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54" t="s">
        <v>692</v>
      </c>
      <c r="C24" s="11" t="s">
        <v>31</v>
      </c>
      <c r="D24" s="56" t="s">
        <v>48</v>
      </c>
      <c r="E24" s="57" t="s">
        <v>594</v>
      </c>
      <c r="F24" s="21">
        <v>1.7</v>
      </c>
      <c r="G24" s="8">
        <v>2015</v>
      </c>
      <c r="I24" s="23">
        <f t="shared" si="1"/>
        <v>1.7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10" t="s">
        <v>752</v>
      </c>
      <c r="C25" s="11" t="s">
        <v>40</v>
      </c>
      <c r="D25" s="56" t="s">
        <v>29</v>
      </c>
      <c r="E25" s="56" t="s">
        <v>594</v>
      </c>
      <c r="F25" s="16">
        <v>1.7</v>
      </c>
      <c r="G25" s="17">
        <v>2015</v>
      </c>
      <c r="I25" s="23">
        <f aca="true" t="shared" si="2" ref="I25:M32">+IF($G25&gt;=I$3,$F25,0)</f>
        <v>1.7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10" t="s">
        <v>727</v>
      </c>
      <c r="C26" s="11" t="s">
        <v>19</v>
      </c>
      <c r="D26" s="56" t="s">
        <v>39</v>
      </c>
      <c r="E26" s="11" t="s">
        <v>594</v>
      </c>
      <c r="F26" s="25">
        <v>1.7</v>
      </c>
      <c r="G26" s="11">
        <v>2015</v>
      </c>
      <c r="I26" s="23">
        <f t="shared" si="2"/>
        <v>1.7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10" t="s">
        <v>711</v>
      </c>
      <c r="C27" s="11" t="s">
        <v>19</v>
      </c>
      <c r="D27" s="11" t="s">
        <v>24</v>
      </c>
      <c r="E27" s="20" t="s">
        <v>594</v>
      </c>
      <c r="F27" s="16">
        <v>1.7</v>
      </c>
      <c r="G27" s="17">
        <v>2015</v>
      </c>
      <c r="I27" s="23">
        <f t="shared" si="2"/>
        <v>1.7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4" t="s">
        <v>749</v>
      </c>
      <c r="C28" s="56" t="s">
        <v>17</v>
      </c>
      <c r="D28" s="56" t="s">
        <v>52</v>
      </c>
      <c r="E28" s="57" t="s">
        <v>594</v>
      </c>
      <c r="F28" s="21">
        <v>1.7</v>
      </c>
      <c r="G28" s="8">
        <v>2015</v>
      </c>
      <c r="I28" s="23">
        <f t="shared" si="2"/>
        <v>1.7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54" t="s">
        <v>737</v>
      </c>
      <c r="C29" s="56" t="s">
        <v>17</v>
      </c>
      <c r="D29" s="56" t="s">
        <v>35</v>
      </c>
      <c r="E29" s="57" t="s">
        <v>594</v>
      </c>
      <c r="F29" s="21">
        <v>1.7</v>
      </c>
      <c r="G29" s="8">
        <v>2015</v>
      </c>
      <c r="I29" s="23">
        <f t="shared" si="2"/>
        <v>1.7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54" t="s">
        <v>642</v>
      </c>
      <c r="C30" s="11" t="s">
        <v>37</v>
      </c>
      <c r="D30" s="11" t="s">
        <v>34</v>
      </c>
      <c r="E30" s="20" t="s">
        <v>594</v>
      </c>
      <c r="F30" s="21">
        <v>1.7</v>
      </c>
      <c r="G30" s="8">
        <v>2015</v>
      </c>
      <c r="I30" s="23">
        <f t="shared" si="2"/>
        <v>1.7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4" t="s">
        <v>763</v>
      </c>
      <c r="C31" s="11" t="s">
        <v>40</v>
      </c>
      <c r="D31" s="11" t="s">
        <v>226</v>
      </c>
      <c r="E31" s="20" t="s">
        <v>594</v>
      </c>
      <c r="F31" s="16">
        <v>1.7</v>
      </c>
      <c r="G31" s="17">
        <v>2015</v>
      </c>
      <c r="I31" s="23">
        <f t="shared" si="2"/>
        <v>1.7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10" t="s">
        <v>293</v>
      </c>
      <c r="C32" s="11" t="s">
        <v>26</v>
      </c>
      <c r="D32" s="56" t="s">
        <v>30</v>
      </c>
      <c r="E32" s="11" t="s">
        <v>517</v>
      </c>
      <c r="F32" s="25">
        <v>1.4</v>
      </c>
      <c r="G32" s="11">
        <v>2015</v>
      </c>
      <c r="I32" s="23">
        <f t="shared" si="2"/>
        <v>1.4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2:13" ht="12.75">
      <c r="B34" s="30"/>
      <c r="C34" s="56"/>
      <c r="D34" s="11"/>
      <c r="E34" s="20"/>
      <c r="F34" s="21"/>
      <c r="G34" s="8"/>
      <c r="I34" s="24">
        <f>+SUM(I5:I32)</f>
        <v>153.04999999999993</v>
      </c>
      <c r="J34" s="24">
        <f>+SUM(J5:J32)</f>
        <v>94.55000000000001</v>
      </c>
      <c r="K34" s="24">
        <f>+SUM(K5:K32)</f>
        <v>68.45</v>
      </c>
      <c r="L34" s="24">
        <f>+SUM(L5:L32)</f>
        <v>39.55</v>
      </c>
      <c r="M34" s="24">
        <f>+SUM(M5:M32)</f>
        <v>4.15</v>
      </c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2015</v>
      </c>
      <c r="J38" s="14">
        <f>+J$3</f>
        <v>2016</v>
      </c>
      <c r="K38" s="14">
        <f>+K$3</f>
        <v>2017</v>
      </c>
      <c r="L38" s="14">
        <f>+L$3</f>
        <v>2018</v>
      </c>
      <c r="M38" s="14">
        <f>+M$3</f>
        <v>2019</v>
      </c>
    </row>
    <row r="39" spans="2:6" ht="7.5" customHeight="1">
      <c r="B39" s="12"/>
      <c r="C39" s="14"/>
      <c r="E39" s="14"/>
      <c r="F39" s="14"/>
    </row>
    <row r="40" spans="1:13" ht="12.75">
      <c r="A40" s="92">
        <v>1</v>
      </c>
      <c r="B40" s="10" t="s">
        <v>540</v>
      </c>
      <c r="C40" s="11" t="s">
        <v>17</v>
      </c>
      <c r="D40" s="11" t="s">
        <v>439</v>
      </c>
      <c r="E40" s="20" t="s">
        <v>441</v>
      </c>
      <c r="F40" s="16">
        <v>13.15</v>
      </c>
      <c r="G40" s="17">
        <v>2019</v>
      </c>
      <c r="I40" s="23">
        <f aca="true" t="shared" si="3" ref="I40:I46">+CEILING(IF($I$38&lt;=G40,F40*0.3,0),0.05)</f>
        <v>3.95</v>
      </c>
      <c r="J40" s="23">
        <f aca="true" t="shared" si="4" ref="J40:J46">+CEILING(IF($J$38&lt;=G40,F40*0.3,0),0.05)</f>
        <v>3.95</v>
      </c>
      <c r="K40" s="23">
        <f aca="true" t="shared" si="5" ref="K40:K46">+CEILING(IF($K$38&lt;=G40,F40*0.3,0),0.05)</f>
        <v>3.95</v>
      </c>
      <c r="L40" s="23">
        <f aca="true" t="shared" si="6" ref="L40:L46">+CEILING(IF($L$38&lt;=G40,F40*0.3,0),0.05)</f>
        <v>3.95</v>
      </c>
      <c r="M40" s="23">
        <f aca="true" t="shared" si="7" ref="M40:M46">+CEILING(IF($M$38&lt;=G40,F40*0.3,0),0.05)</f>
        <v>3.95</v>
      </c>
    </row>
    <row r="41" spans="1:13" ht="12.75">
      <c r="A41" s="92">
        <v>2</v>
      </c>
      <c r="B41" s="54" t="s">
        <v>570</v>
      </c>
      <c r="C41" s="56" t="s">
        <v>31</v>
      </c>
      <c r="D41" s="56" t="s">
        <v>439</v>
      </c>
      <c r="E41" s="57" t="s">
        <v>441</v>
      </c>
      <c r="F41" s="21">
        <v>7.95</v>
      </c>
      <c r="G41" s="8">
        <v>2019</v>
      </c>
      <c r="I41" s="23">
        <f t="shared" si="3"/>
        <v>2.4000000000000004</v>
      </c>
      <c r="J41" s="23">
        <f t="shared" si="4"/>
        <v>2.4000000000000004</v>
      </c>
      <c r="K41" s="23">
        <f t="shared" si="5"/>
        <v>2.4000000000000004</v>
      </c>
      <c r="L41" s="23">
        <f t="shared" si="6"/>
        <v>2.4000000000000004</v>
      </c>
      <c r="M41" s="23">
        <f t="shared" si="7"/>
        <v>2.4000000000000004</v>
      </c>
    </row>
    <row r="42" spans="1:13" ht="12.75">
      <c r="A42" s="92">
        <v>3</v>
      </c>
      <c r="B42" s="10" t="s">
        <v>533</v>
      </c>
      <c r="C42" s="11" t="s">
        <v>19</v>
      </c>
      <c r="D42" s="11" t="s">
        <v>45</v>
      </c>
      <c r="E42" s="11" t="s">
        <v>441</v>
      </c>
      <c r="F42" s="16">
        <v>7.35</v>
      </c>
      <c r="G42" s="17">
        <v>2019</v>
      </c>
      <c r="I42" s="23">
        <f t="shared" si="3"/>
        <v>2.25</v>
      </c>
      <c r="J42" s="23">
        <f t="shared" si="4"/>
        <v>2.25</v>
      </c>
      <c r="K42" s="23">
        <f t="shared" si="5"/>
        <v>2.25</v>
      </c>
      <c r="L42" s="23">
        <f t="shared" si="6"/>
        <v>2.25</v>
      </c>
      <c r="M42" s="23">
        <f t="shared" si="7"/>
        <v>2.25</v>
      </c>
    </row>
    <row r="43" spans="1:13" ht="12.75">
      <c r="A43" s="92">
        <v>4</v>
      </c>
      <c r="B43" s="54" t="s">
        <v>291</v>
      </c>
      <c r="C43" s="11" t="s">
        <v>17</v>
      </c>
      <c r="D43" s="11" t="s">
        <v>36</v>
      </c>
      <c r="E43" s="20" t="s">
        <v>432</v>
      </c>
      <c r="F43" s="21">
        <v>4.8</v>
      </c>
      <c r="G43" s="8">
        <v>2017</v>
      </c>
      <c r="I43" s="23">
        <f t="shared" si="3"/>
        <v>1.4500000000000002</v>
      </c>
      <c r="J43" s="23">
        <f t="shared" si="4"/>
        <v>1.4500000000000002</v>
      </c>
      <c r="K43" s="23">
        <f t="shared" si="5"/>
        <v>1.4500000000000002</v>
      </c>
      <c r="L43" s="23">
        <f t="shared" si="6"/>
        <v>0</v>
      </c>
      <c r="M43" s="23">
        <f t="shared" si="7"/>
        <v>0</v>
      </c>
    </row>
    <row r="44" spans="1:13" ht="12.75">
      <c r="A44" s="92">
        <v>5</v>
      </c>
      <c r="B44" s="54" t="s">
        <v>191</v>
      </c>
      <c r="C44" s="11" t="s">
        <v>26</v>
      </c>
      <c r="D44" s="11" t="s">
        <v>34</v>
      </c>
      <c r="E44" s="20" t="s">
        <v>434</v>
      </c>
      <c r="F44" s="21">
        <v>9.1</v>
      </c>
      <c r="G44" s="8">
        <v>2016</v>
      </c>
      <c r="I44" s="23">
        <f t="shared" si="3"/>
        <v>2.75</v>
      </c>
      <c r="J44" s="23">
        <f t="shared" si="4"/>
        <v>2.75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92">
        <v>6</v>
      </c>
      <c r="B45" s="54"/>
      <c r="D45" s="56"/>
      <c r="E45" s="57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76</v>
      </c>
      <c r="B46" s="54" t="s">
        <v>592</v>
      </c>
      <c r="C46" s="31" t="s">
        <v>84</v>
      </c>
      <c r="D46" s="31" t="s">
        <v>84</v>
      </c>
      <c r="E46" s="31" t="s">
        <v>84</v>
      </c>
      <c r="F46" s="16">
        <f>6.65*2+6.65*2</f>
        <v>26.6</v>
      </c>
      <c r="G46" s="17">
        <v>2015</v>
      </c>
      <c r="I46" s="23">
        <f t="shared" si="3"/>
        <v>8</v>
      </c>
      <c r="J46" s="23">
        <f t="shared" si="4"/>
        <v>0</v>
      </c>
      <c r="K46" s="23">
        <f t="shared" si="5"/>
        <v>0</v>
      </c>
      <c r="L46" s="23">
        <f t="shared" si="6"/>
        <v>0</v>
      </c>
      <c r="M46" s="23">
        <f t="shared" si="7"/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D48" s="11"/>
      <c r="E48" s="11"/>
      <c r="F48" s="25"/>
      <c r="G48" s="11"/>
      <c r="I48" s="19">
        <f>+SUM(I40:I47)</f>
        <v>20.8</v>
      </c>
      <c r="J48" s="19">
        <f>+SUM(J40:J47)</f>
        <v>12.8</v>
      </c>
      <c r="K48" s="19">
        <f>+SUM(K40:K47)</f>
        <v>10.05</v>
      </c>
      <c r="L48" s="19">
        <f>+SUM(L40:L47)</f>
        <v>8.600000000000001</v>
      </c>
      <c r="M48" s="19">
        <f>+SUM(M40:M47)</f>
        <v>8.600000000000001</v>
      </c>
    </row>
    <row r="50" spans="1:13" ht="15.75">
      <c r="A50" s="140" t="s">
        <v>49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2015</v>
      </c>
      <c r="J52" s="14">
        <f>+J$3</f>
        <v>2016</v>
      </c>
      <c r="K52" s="14">
        <f>+K$3</f>
        <v>2017</v>
      </c>
      <c r="L52" s="14">
        <f>+L$3</f>
        <v>2018</v>
      </c>
      <c r="M52" s="14">
        <f>+M$3</f>
        <v>2019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54" t="s">
        <v>105</v>
      </c>
      <c r="C54" s="56" t="s">
        <v>19</v>
      </c>
      <c r="D54" s="11" t="s">
        <v>28</v>
      </c>
      <c r="E54" s="20">
        <v>2015</v>
      </c>
      <c r="F54" s="21">
        <v>2.3</v>
      </c>
      <c r="G54" s="8">
        <v>2018</v>
      </c>
      <c r="I54" s="23">
        <f aca="true" t="shared" si="8" ref="I54:I71">+CEILING(IF($I$52=E54,F54,IF($I$52&lt;=G54,F54*0.3,0)),0.05)</f>
        <v>2.3000000000000003</v>
      </c>
      <c r="J54" s="23">
        <f aca="true" t="shared" si="9" ref="J54:J71">+CEILING(IF($J$52&lt;=G54,F54*0.3,0),0.05)</f>
        <v>0.7000000000000001</v>
      </c>
      <c r="K54" s="23">
        <f aca="true" t="shared" si="10" ref="K54:K71">+CEILING(IF($K$52&lt;=G54,F54*0.3,0),0.05)</f>
        <v>0.7000000000000001</v>
      </c>
      <c r="L54" s="23">
        <f aca="true" t="shared" si="11" ref="L54:L71">+CEILING(IF($L$52&lt;=G54,F54*0.3,0),0.05)</f>
        <v>0.7000000000000001</v>
      </c>
      <c r="M54" s="23">
        <f aca="true" t="shared" si="12" ref="M54:M71">CEILING(IF($M$52&lt;=G54,F54*0.3,0),0.05)</f>
        <v>0</v>
      </c>
    </row>
    <row r="55" spans="1:13" ht="12.75">
      <c r="A55" s="15">
        <v>2</v>
      </c>
      <c r="B55" s="54" t="s">
        <v>302</v>
      </c>
      <c r="C55" s="11" t="s">
        <v>17</v>
      </c>
      <c r="D55" s="11" t="s">
        <v>24</v>
      </c>
      <c r="E55" s="20">
        <v>2014</v>
      </c>
      <c r="F55" s="25">
        <v>7.2</v>
      </c>
      <c r="G55" s="11">
        <v>2017</v>
      </c>
      <c r="I55" s="23">
        <f t="shared" si="8"/>
        <v>2.2</v>
      </c>
      <c r="J55" s="23">
        <f t="shared" si="9"/>
        <v>2.2</v>
      </c>
      <c r="K55" s="23">
        <f t="shared" si="10"/>
        <v>2.2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54" t="s">
        <v>576</v>
      </c>
      <c r="C56" s="56" t="s">
        <v>18</v>
      </c>
      <c r="D56" s="56" t="s">
        <v>51</v>
      </c>
      <c r="E56" s="57">
        <v>2015</v>
      </c>
      <c r="F56" s="21">
        <v>1.7</v>
      </c>
      <c r="G56" s="8">
        <v>2017</v>
      </c>
      <c r="I56" s="23">
        <f t="shared" si="8"/>
        <v>1.7000000000000002</v>
      </c>
      <c r="J56" s="23">
        <f t="shared" si="9"/>
        <v>0.55</v>
      </c>
      <c r="K56" s="23">
        <f t="shared" si="10"/>
        <v>0.55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4" t="s">
        <v>325</v>
      </c>
      <c r="C57" s="11" t="s">
        <v>31</v>
      </c>
      <c r="D57" s="11" t="s">
        <v>30</v>
      </c>
      <c r="E57" s="20">
        <v>2013</v>
      </c>
      <c r="F57" s="21">
        <v>1.4</v>
      </c>
      <c r="G57" s="8">
        <v>2017</v>
      </c>
      <c r="I57" s="23">
        <f t="shared" si="8"/>
        <v>0.45</v>
      </c>
      <c r="J57" s="23">
        <f t="shared" si="9"/>
        <v>0.45</v>
      </c>
      <c r="K57" s="23">
        <f t="shared" si="10"/>
        <v>0.45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10" t="s">
        <v>204</v>
      </c>
      <c r="C58" s="11" t="s">
        <v>17</v>
      </c>
      <c r="D58" s="11" t="s">
        <v>34</v>
      </c>
      <c r="E58" s="20">
        <v>2014</v>
      </c>
      <c r="F58" s="21">
        <v>5.2</v>
      </c>
      <c r="G58" s="8">
        <v>2016</v>
      </c>
      <c r="I58" s="23">
        <f t="shared" si="8"/>
        <v>1.6</v>
      </c>
      <c r="J58" s="23">
        <f t="shared" si="9"/>
        <v>1.6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10" t="s">
        <v>221</v>
      </c>
      <c r="C59" s="11" t="s">
        <v>37</v>
      </c>
      <c r="D59" s="11" t="s">
        <v>43</v>
      </c>
      <c r="E59" s="20">
        <v>2014</v>
      </c>
      <c r="F59" s="16">
        <v>2.5</v>
      </c>
      <c r="G59" s="17">
        <v>2016</v>
      </c>
      <c r="I59" s="23">
        <f t="shared" si="8"/>
        <v>0.75</v>
      </c>
      <c r="J59" s="23">
        <f t="shared" si="9"/>
        <v>0.75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10" t="s">
        <v>208</v>
      </c>
      <c r="C60" s="56" t="s">
        <v>37</v>
      </c>
      <c r="D60" s="11" t="s">
        <v>36</v>
      </c>
      <c r="E60" s="20">
        <v>2013</v>
      </c>
      <c r="F60" s="21">
        <v>2.2</v>
      </c>
      <c r="G60" s="8">
        <v>2016</v>
      </c>
      <c r="I60" s="23">
        <f t="shared" si="8"/>
        <v>0.7000000000000001</v>
      </c>
      <c r="J60" s="23">
        <f t="shared" si="9"/>
        <v>0.7000000000000001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54" t="s">
        <v>189</v>
      </c>
      <c r="C61" s="11" t="s">
        <v>19</v>
      </c>
      <c r="D61" s="56" t="s">
        <v>226</v>
      </c>
      <c r="E61" s="57">
        <v>2015</v>
      </c>
      <c r="F61" s="21">
        <v>1.55</v>
      </c>
      <c r="G61" s="8">
        <v>2016</v>
      </c>
      <c r="I61" s="23">
        <f t="shared" si="8"/>
        <v>1.55</v>
      </c>
      <c r="J61" s="23">
        <f t="shared" si="9"/>
        <v>0.5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10" t="s">
        <v>350</v>
      </c>
      <c r="C62" s="56" t="s">
        <v>15</v>
      </c>
      <c r="D62" s="11" t="s">
        <v>32</v>
      </c>
      <c r="E62" s="20">
        <v>2014</v>
      </c>
      <c r="F62" s="21">
        <v>10.25</v>
      </c>
      <c r="G62" s="8">
        <v>2015</v>
      </c>
      <c r="I62" s="23">
        <f t="shared" si="8"/>
        <v>3.1</v>
      </c>
      <c r="J62" s="23">
        <f t="shared" si="9"/>
        <v>0</v>
      </c>
      <c r="K62" s="23">
        <f t="shared" si="10"/>
        <v>0</v>
      </c>
      <c r="L62" s="23">
        <f t="shared" si="11"/>
        <v>0</v>
      </c>
      <c r="M62" s="23">
        <f t="shared" si="12"/>
        <v>0</v>
      </c>
    </row>
    <row r="63" spans="1:13" ht="12.75">
      <c r="A63" s="15">
        <v>10</v>
      </c>
      <c r="B63" s="54" t="s">
        <v>96</v>
      </c>
      <c r="C63" s="56" t="s">
        <v>19</v>
      </c>
      <c r="D63" s="11" t="s">
        <v>35</v>
      </c>
      <c r="E63" s="20">
        <v>2014</v>
      </c>
      <c r="F63" s="21">
        <v>8.75</v>
      </c>
      <c r="G63" s="8">
        <v>2015</v>
      </c>
      <c r="I63" s="23">
        <f t="shared" si="8"/>
        <v>2.6500000000000004</v>
      </c>
      <c r="J63" s="23">
        <f t="shared" si="9"/>
        <v>0</v>
      </c>
      <c r="K63" s="23">
        <f t="shared" si="10"/>
        <v>0</v>
      </c>
      <c r="L63" s="23">
        <f t="shared" si="11"/>
        <v>0</v>
      </c>
      <c r="M63" s="23">
        <f t="shared" si="12"/>
        <v>0</v>
      </c>
    </row>
    <row r="64" spans="1:13" ht="12.75">
      <c r="A64" s="15">
        <v>11</v>
      </c>
      <c r="B64" s="10" t="s">
        <v>121</v>
      </c>
      <c r="C64" s="11" t="s">
        <v>19</v>
      </c>
      <c r="D64" s="11" t="s">
        <v>36</v>
      </c>
      <c r="E64" s="20">
        <v>2012</v>
      </c>
      <c r="F64" s="21">
        <v>7.65</v>
      </c>
      <c r="G64" s="8">
        <v>2015</v>
      </c>
      <c r="I64" s="23">
        <f t="shared" si="8"/>
        <v>2.3000000000000003</v>
      </c>
      <c r="J64" s="23">
        <f t="shared" si="9"/>
        <v>0</v>
      </c>
      <c r="K64" s="23">
        <f t="shared" si="10"/>
        <v>0</v>
      </c>
      <c r="L64" s="23">
        <f t="shared" si="11"/>
        <v>0</v>
      </c>
      <c r="M64" s="23">
        <f t="shared" si="12"/>
        <v>0</v>
      </c>
    </row>
    <row r="65" spans="1:13" ht="12.75">
      <c r="A65" s="15">
        <v>12</v>
      </c>
      <c r="B65" s="54" t="s">
        <v>236</v>
      </c>
      <c r="C65" s="11" t="s">
        <v>37</v>
      </c>
      <c r="D65" s="11" t="s">
        <v>33</v>
      </c>
      <c r="E65" s="20">
        <v>2014</v>
      </c>
      <c r="F65" s="21">
        <v>7.25</v>
      </c>
      <c r="G65" s="8">
        <v>2015</v>
      </c>
      <c r="I65" s="23">
        <f t="shared" si="8"/>
        <v>2.2</v>
      </c>
      <c r="J65" s="23">
        <f t="shared" si="9"/>
        <v>0</v>
      </c>
      <c r="K65" s="23">
        <f t="shared" si="10"/>
        <v>0</v>
      </c>
      <c r="L65" s="23">
        <f t="shared" si="11"/>
        <v>0</v>
      </c>
      <c r="M65" s="23">
        <f t="shared" si="12"/>
        <v>0</v>
      </c>
    </row>
    <row r="66" spans="1:13" ht="12.75">
      <c r="A66" s="15">
        <v>13</v>
      </c>
      <c r="B66" s="10" t="s">
        <v>135</v>
      </c>
      <c r="C66" s="11" t="s">
        <v>15</v>
      </c>
      <c r="D66" s="56" t="s">
        <v>24</v>
      </c>
      <c r="E66" s="56">
        <v>2015</v>
      </c>
      <c r="F66" s="16">
        <v>6.7</v>
      </c>
      <c r="G66" s="17">
        <v>2015</v>
      </c>
      <c r="I66" s="23">
        <f t="shared" si="8"/>
        <v>6.7</v>
      </c>
      <c r="J66" s="23">
        <f t="shared" si="9"/>
        <v>0</v>
      </c>
      <c r="K66" s="23">
        <f t="shared" si="10"/>
        <v>0</v>
      </c>
      <c r="L66" s="23">
        <f t="shared" si="11"/>
        <v>0</v>
      </c>
      <c r="M66" s="23">
        <f t="shared" si="12"/>
        <v>0</v>
      </c>
    </row>
    <row r="67" spans="1:13" ht="12.75">
      <c r="A67" s="15">
        <v>14</v>
      </c>
      <c r="B67" s="10" t="s">
        <v>138</v>
      </c>
      <c r="C67" s="11" t="s">
        <v>18</v>
      </c>
      <c r="D67" s="11" t="s">
        <v>32</v>
      </c>
      <c r="E67" s="20">
        <v>2013</v>
      </c>
      <c r="F67" s="21">
        <v>5.1</v>
      </c>
      <c r="G67" s="8">
        <v>2015</v>
      </c>
      <c r="I67" s="23">
        <f t="shared" si="8"/>
        <v>1.55</v>
      </c>
      <c r="J67" s="23">
        <f t="shared" si="9"/>
        <v>0</v>
      </c>
      <c r="K67" s="23">
        <f t="shared" si="10"/>
        <v>0</v>
      </c>
      <c r="L67" s="23">
        <f t="shared" si="11"/>
        <v>0</v>
      </c>
      <c r="M67" s="23">
        <f t="shared" si="12"/>
        <v>0</v>
      </c>
    </row>
    <row r="68" spans="1:13" ht="12.75">
      <c r="A68" s="15">
        <v>15</v>
      </c>
      <c r="B68" s="42" t="s">
        <v>161</v>
      </c>
      <c r="C68" s="11" t="s">
        <v>17</v>
      </c>
      <c r="D68" s="11" t="s">
        <v>25</v>
      </c>
      <c r="E68" s="20">
        <v>2013</v>
      </c>
      <c r="F68" s="21">
        <v>3.6</v>
      </c>
      <c r="G68" s="8">
        <v>2015</v>
      </c>
      <c r="I68" s="23">
        <f>+CEILING(IF($I$52=E68,F68,IF($I$52&lt;=G68,F68*0.3,0)),0.05)</f>
        <v>1.1</v>
      </c>
      <c r="J68" s="23">
        <f>+CEILING(IF($J$52&lt;=G68,F68*0.3,0),0.05)</f>
        <v>0</v>
      </c>
      <c r="K68" s="23">
        <f>+CEILING(IF($K$52&lt;=G68,F68*0.3,0),0.05)</f>
        <v>0</v>
      </c>
      <c r="L68" s="23">
        <f>+CEILING(IF($L$52&lt;=G68,F68*0.3,0),0.05)</f>
        <v>0</v>
      </c>
      <c r="M68" s="23">
        <f>CEILING(IF($M$52&lt;=G68,F68*0.3,0),0.05)</f>
        <v>0</v>
      </c>
    </row>
    <row r="69" spans="1:13" ht="12.75">
      <c r="A69" s="15">
        <v>16</v>
      </c>
      <c r="B69" s="55" t="s">
        <v>147</v>
      </c>
      <c r="C69" s="11" t="s">
        <v>37</v>
      </c>
      <c r="D69" s="11" t="s">
        <v>29</v>
      </c>
      <c r="E69" s="20">
        <v>2013</v>
      </c>
      <c r="F69" s="21">
        <v>3.2</v>
      </c>
      <c r="G69" s="8">
        <v>2015</v>
      </c>
      <c r="I69" s="23">
        <f>+CEILING(IF($I$52=E69,F69,IF($I$52&lt;=G69,F69*0.3,0)),0.05)</f>
        <v>1</v>
      </c>
      <c r="J69" s="23">
        <f>+CEILING(IF($J$52&lt;=G69,F69*0.3,0),0.05)</f>
        <v>0</v>
      </c>
      <c r="K69" s="23">
        <f>+CEILING(IF($K$52&lt;=G69,F69*0.3,0),0.05)</f>
        <v>0</v>
      </c>
      <c r="L69" s="23">
        <f>+CEILING(IF($L$52&lt;=G69,F69*0.3,0),0.05)</f>
        <v>0</v>
      </c>
      <c r="M69" s="23">
        <f>CEILING(IF($M$52&lt;=G69,F69*0.3,0),0.05)</f>
        <v>0</v>
      </c>
    </row>
    <row r="70" spans="1:13" ht="12.75">
      <c r="A70" s="15">
        <v>17</v>
      </c>
      <c r="B70" s="10" t="s">
        <v>314</v>
      </c>
      <c r="C70" s="11" t="s">
        <v>37</v>
      </c>
      <c r="D70" s="11" t="s">
        <v>23</v>
      </c>
      <c r="E70" s="20">
        <v>2013</v>
      </c>
      <c r="F70" s="21">
        <v>3</v>
      </c>
      <c r="G70" s="8">
        <v>2015</v>
      </c>
      <c r="I70" s="23">
        <f>+CEILING(IF($I$52=E70,F70,IF($I$52&lt;=G70,F70*0.3,0)),0.05)</f>
        <v>0.9</v>
      </c>
      <c r="J70" s="23">
        <f>+CEILING(IF($J$52&lt;=G70,F70*0.3,0),0.05)</f>
        <v>0</v>
      </c>
      <c r="K70" s="23">
        <f>+CEILING(IF($K$52&lt;=G70,F70*0.3,0),0.05)</f>
        <v>0</v>
      </c>
      <c r="L70" s="23">
        <f>+CEILING(IF($L$52&lt;=G70,F70*0.3,0),0.05)</f>
        <v>0</v>
      </c>
      <c r="M70" s="23">
        <f>CEILING(IF($M$52&lt;=G70,F70*0.3,0),0.05)</f>
        <v>0</v>
      </c>
    </row>
    <row r="71" spans="1:13" ht="12.75">
      <c r="A71" s="15">
        <v>18</v>
      </c>
      <c r="B71" s="54" t="s">
        <v>622</v>
      </c>
      <c r="C71" s="56" t="s">
        <v>31</v>
      </c>
      <c r="D71" s="56" t="s">
        <v>52</v>
      </c>
      <c r="E71" s="57">
        <v>2015</v>
      </c>
      <c r="F71" s="21">
        <v>1.7</v>
      </c>
      <c r="G71" s="8">
        <v>2015</v>
      </c>
      <c r="I71" s="23">
        <f t="shared" si="8"/>
        <v>1.7000000000000002</v>
      </c>
      <c r="J71" s="23">
        <f t="shared" si="9"/>
        <v>0</v>
      </c>
      <c r="K71" s="23">
        <f t="shared" si="10"/>
        <v>0</v>
      </c>
      <c r="L71" s="23">
        <f t="shared" si="11"/>
        <v>0</v>
      </c>
      <c r="M71" s="23">
        <f t="shared" si="12"/>
        <v>0</v>
      </c>
    </row>
    <row r="72" spans="1:13" ht="12.75">
      <c r="A72" s="15">
        <v>19</v>
      </c>
      <c r="B72" s="54" t="s">
        <v>624</v>
      </c>
      <c r="C72" s="11" t="s">
        <v>17</v>
      </c>
      <c r="D72" s="11" t="s">
        <v>35</v>
      </c>
      <c r="E72" s="20">
        <v>2015</v>
      </c>
      <c r="F72" s="21">
        <v>1.7</v>
      </c>
      <c r="G72" s="8">
        <v>2015</v>
      </c>
      <c r="I72" s="23">
        <f aca="true" t="shared" si="13" ref="I72:I78">+CEILING(IF($I$52=E72,F72,IF($I$52&lt;=G72,F72*0.3,0)),0.05)</f>
        <v>1.7000000000000002</v>
      </c>
      <c r="J72" s="23">
        <f aca="true" t="shared" si="14" ref="J72:J78">+CEILING(IF($J$52&lt;=G72,F72*0.3,0),0.05)</f>
        <v>0</v>
      </c>
      <c r="K72" s="23">
        <f aca="true" t="shared" si="15" ref="K72:K78">+CEILING(IF($K$52&lt;=G72,F72*0.3,0),0.05)</f>
        <v>0</v>
      </c>
      <c r="L72" s="23">
        <f aca="true" t="shared" si="16" ref="L72:L78">+CEILING(IF($L$52&lt;=G72,F72*0.3,0),0.05)</f>
        <v>0</v>
      </c>
      <c r="M72" s="23">
        <f aca="true" t="shared" si="17" ref="M72:M78">CEILING(IF($M$52&lt;=G72,F72*0.3,0),0.05)</f>
        <v>0</v>
      </c>
    </row>
    <row r="73" spans="1:13" ht="12.75">
      <c r="A73" s="15">
        <v>20</v>
      </c>
      <c r="B73" s="10" t="s">
        <v>616</v>
      </c>
      <c r="C73" s="11" t="s">
        <v>19</v>
      </c>
      <c r="D73" s="56" t="s">
        <v>28</v>
      </c>
      <c r="E73" s="11">
        <v>2015</v>
      </c>
      <c r="F73" s="25">
        <v>1.7</v>
      </c>
      <c r="G73" s="11">
        <v>2015</v>
      </c>
      <c r="I73" s="23">
        <f t="shared" si="13"/>
        <v>1.7000000000000002</v>
      </c>
      <c r="J73" s="23">
        <f t="shared" si="14"/>
        <v>0</v>
      </c>
      <c r="K73" s="23">
        <f t="shared" si="15"/>
        <v>0</v>
      </c>
      <c r="L73" s="23">
        <f t="shared" si="16"/>
        <v>0</v>
      </c>
      <c r="M73" s="23">
        <f t="shared" si="17"/>
        <v>0</v>
      </c>
    </row>
    <row r="74" spans="1:13" ht="12.75">
      <c r="A74" s="15">
        <v>21</v>
      </c>
      <c r="B74" s="54" t="s">
        <v>642</v>
      </c>
      <c r="C74" s="56" t="s">
        <v>37</v>
      </c>
      <c r="D74" s="56" t="s">
        <v>34</v>
      </c>
      <c r="E74" s="57">
        <v>2015</v>
      </c>
      <c r="F74" s="21">
        <v>1.7</v>
      </c>
      <c r="G74" s="8">
        <v>2015</v>
      </c>
      <c r="I74" s="23">
        <f t="shared" si="13"/>
        <v>1.7000000000000002</v>
      </c>
      <c r="J74" s="23">
        <f t="shared" si="14"/>
        <v>0</v>
      </c>
      <c r="K74" s="23">
        <f t="shared" si="15"/>
        <v>0</v>
      </c>
      <c r="L74" s="23">
        <f t="shared" si="16"/>
        <v>0</v>
      </c>
      <c r="M74" s="23">
        <f t="shared" si="17"/>
        <v>0</v>
      </c>
    </row>
    <row r="75" spans="1:13" ht="12.75">
      <c r="A75" s="15">
        <v>22</v>
      </c>
      <c r="B75" s="10" t="s">
        <v>671</v>
      </c>
      <c r="C75" s="11" t="s">
        <v>19</v>
      </c>
      <c r="D75" s="56" t="s">
        <v>25</v>
      </c>
      <c r="E75" s="11">
        <v>2015</v>
      </c>
      <c r="F75" s="25">
        <v>1.7</v>
      </c>
      <c r="G75" s="11">
        <v>2015</v>
      </c>
      <c r="I75" s="23">
        <f t="shared" si="13"/>
        <v>1.7000000000000002</v>
      </c>
      <c r="J75" s="23">
        <f t="shared" si="14"/>
        <v>0</v>
      </c>
      <c r="K75" s="23">
        <f t="shared" si="15"/>
        <v>0</v>
      </c>
      <c r="L75" s="23">
        <f t="shared" si="16"/>
        <v>0</v>
      </c>
      <c r="M75" s="23">
        <f t="shared" si="17"/>
        <v>0</v>
      </c>
    </row>
    <row r="76" spans="1:13" ht="12.75">
      <c r="A76" s="15">
        <v>23</v>
      </c>
      <c r="B76" s="54" t="s">
        <v>428</v>
      </c>
      <c r="C76" s="11" t="s">
        <v>37</v>
      </c>
      <c r="D76" s="11" t="s">
        <v>85</v>
      </c>
      <c r="E76" s="20">
        <v>2015</v>
      </c>
      <c r="F76" s="21">
        <v>1.7</v>
      </c>
      <c r="G76" s="8">
        <v>2015</v>
      </c>
      <c r="I76" s="23">
        <f t="shared" si="13"/>
        <v>1.7000000000000002</v>
      </c>
      <c r="J76" s="23">
        <f t="shared" si="14"/>
        <v>0</v>
      </c>
      <c r="K76" s="23">
        <f t="shared" si="15"/>
        <v>0</v>
      </c>
      <c r="L76" s="23">
        <f t="shared" si="16"/>
        <v>0</v>
      </c>
      <c r="M76" s="23">
        <f t="shared" si="17"/>
        <v>0</v>
      </c>
    </row>
    <row r="77" spans="1:13" ht="12.75">
      <c r="A77" s="15">
        <v>24</v>
      </c>
      <c r="B77" s="10" t="s">
        <v>619</v>
      </c>
      <c r="C77" s="11" t="s">
        <v>17</v>
      </c>
      <c r="D77" s="11" t="s">
        <v>226</v>
      </c>
      <c r="E77" s="20">
        <v>2015</v>
      </c>
      <c r="F77" s="16">
        <v>1.7</v>
      </c>
      <c r="G77" s="17">
        <v>2015</v>
      </c>
      <c r="I77" s="23">
        <f t="shared" si="13"/>
        <v>1.7000000000000002</v>
      </c>
      <c r="J77" s="23">
        <f t="shared" si="14"/>
        <v>0</v>
      </c>
      <c r="K77" s="23">
        <f t="shared" si="15"/>
        <v>0</v>
      </c>
      <c r="L77" s="23">
        <f t="shared" si="16"/>
        <v>0</v>
      </c>
      <c r="M77" s="23">
        <f t="shared" si="17"/>
        <v>0</v>
      </c>
    </row>
    <row r="78" spans="1:13" ht="12.75">
      <c r="A78" s="15">
        <v>25</v>
      </c>
      <c r="B78" s="54" t="s">
        <v>707</v>
      </c>
      <c r="C78" s="11" t="s">
        <v>17</v>
      </c>
      <c r="D78" s="11" t="s">
        <v>28</v>
      </c>
      <c r="E78" s="20">
        <v>2015</v>
      </c>
      <c r="F78" s="21">
        <v>1.7</v>
      </c>
      <c r="G78" s="8">
        <v>2015</v>
      </c>
      <c r="I78" s="23">
        <f t="shared" si="13"/>
        <v>1.7000000000000002</v>
      </c>
      <c r="J78" s="23">
        <f t="shared" si="14"/>
        <v>0</v>
      </c>
      <c r="K78" s="23">
        <f t="shared" si="15"/>
        <v>0</v>
      </c>
      <c r="L78" s="23">
        <f t="shared" si="16"/>
        <v>0</v>
      </c>
      <c r="M78" s="23">
        <f t="shared" si="17"/>
        <v>0</v>
      </c>
    </row>
    <row r="79" spans="1:13" ht="12.75">
      <c r="A79" s="15">
        <v>26</v>
      </c>
      <c r="B79" s="10" t="s">
        <v>660</v>
      </c>
      <c r="C79" s="11" t="s">
        <v>19</v>
      </c>
      <c r="D79" s="56" t="s">
        <v>36</v>
      </c>
      <c r="E79" s="11">
        <v>2015</v>
      </c>
      <c r="F79" s="25">
        <v>1.7</v>
      </c>
      <c r="G79" s="11">
        <v>2015</v>
      </c>
      <c r="I79" s="23">
        <f aca="true" t="shared" si="18" ref="I79:I84">+CEILING(IF($I$52=E79,F79,IF($I$52&lt;=G79,F79*0.3,0)),0.05)</f>
        <v>1.7000000000000002</v>
      </c>
      <c r="J79" s="23">
        <f aca="true" t="shared" si="19" ref="J79:J84">+CEILING(IF($J$52&lt;=G79,F79*0.3,0),0.05)</f>
        <v>0</v>
      </c>
      <c r="K79" s="23">
        <f aca="true" t="shared" si="20" ref="K79:K84">+CEILING(IF($K$52&lt;=G79,F79*0.3,0),0.05)</f>
        <v>0</v>
      </c>
      <c r="L79" s="23">
        <f aca="true" t="shared" si="21" ref="L79:L84">+CEILING(IF($L$52&lt;=G79,F79*0.3,0),0.05)</f>
        <v>0</v>
      </c>
      <c r="M79" s="23">
        <f aca="true" t="shared" si="22" ref="M79:M84">CEILING(IF($M$52&lt;=G79,F79*0.3,0),0.05)</f>
        <v>0</v>
      </c>
    </row>
    <row r="80" spans="1:13" ht="12.75">
      <c r="A80" s="15">
        <v>27</v>
      </c>
      <c r="B80" s="10" t="s">
        <v>708</v>
      </c>
      <c r="C80" s="11" t="s">
        <v>18</v>
      </c>
      <c r="D80" s="11" t="s">
        <v>24</v>
      </c>
      <c r="E80" s="20">
        <v>2015</v>
      </c>
      <c r="F80" s="16">
        <v>1.7</v>
      </c>
      <c r="G80" s="17">
        <v>2015</v>
      </c>
      <c r="I80" s="23">
        <f t="shared" si="18"/>
        <v>1.7000000000000002</v>
      </c>
      <c r="J80" s="23">
        <f t="shared" si="19"/>
        <v>0</v>
      </c>
      <c r="K80" s="23">
        <f t="shared" si="20"/>
        <v>0</v>
      </c>
      <c r="L80" s="23">
        <f t="shared" si="21"/>
        <v>0</v>
      </c>
      <c r="M80" s="23">
        <f t="shared" si="22"/>
        <v>0</v>
      </c>
    </row>
    <row r="81" spans="1:13" ht="12.75">
      <c r="A81" s="15">
        <v>28</v>
      </c>
      <c r="B81" s="54" t="s">
        <v>681</v>
      </c>
      <c r="C81" s="56" t="s">
        <v>37</v>
      </c>
      <c r="D81" s="56" t="s">
        <v>81</v>
      </c>
      <c r="E81" s="57">
        <v>2015</v>
      </c>
      <c r="F81" s="21">
        <v>1.7</v>
      </c>
      <c r="G81" s="8">
        <v>2015</v>
      </c>
      <c r="I81" s="23">
        <f t="shared" si="18"/>
        <v>1.7000000000000002</v>
      </c>
      <c r="J81" s="23">
        <f t="shared" si="19"/>
        <v>0</v>
      </c>
      <c r="K81" s="23">
        <f t="shared" si="20"/>
        <v>0</v>
      </c>
      <c r="L81" s="23">
        <f t="shared" si="21"/>
        <v>0</v>
      </c>
      <c r="M81" s="23">
        <f t="shared" si="22"/>
        <v>0</v>
      </c>
    </row>
    <row r="82" spans="1:13" ht="12.75">
      <c r="A82" s="15">
        <v>29</v>
      </c>
      <c r="B82" s="10" t="s">
        <v>709</v>
      </c>
      <c r="C82" s="11" t="s">
        <v>19</v>
      </c>
      <c r="D82" s="56" t="s">
        <v>52</v>
      </c>
      <c r="E82" s="11">
        <v>2015</v>
      </c>
      <c r="F82" s="25">
        <v>1.7</v>
      </c>
      <c r="G82" s="11">
        <v>2015</v>
      </c>
      <c r="I82" s="23">
        <f t="shared" si="18"/>
        <v>1.7000000000000002</v>
      </c>
      <c r="J82" s="23">
        <f t="shared" si="19"/>
        <v>0</v>
      </c>
      <c r="K82" s="23">
        <f t="shared" si="20"/>
        <v>0</v>
      </c>
      <c r="L82" s="23">
        <f t="shared" si="21"/>
        <v>0</v>
      </c>
      <c r="M82" s="23">
        <f t="shared" si="22"/>
        <v>0</v>
      </c>
    </row>
    <row r="83" spans="1:13" ht="12.75">
      <c r="A83" s="15">
        <v>30</v>
      </c>
      <c r="B83" s="54" t="s">
        <v>680</v>
      </c>
      <c r="C83" s="56" t="s">
        <v>19</v>
      </c>
      <c r="D83" s="11" t="s">
        <v>28</v>
      </c>
      <c r="E83" s="20">
        <v>2015</v>
      </c>
      <c r="F83" s="21">
        <v>1.7</v>
      </c>
      <c r="G83" s="8">
        <v>2015</v>
      </c>
      <c r="I83" s="23">
        <f t="shared" si="18"/>
        <v>1.7000000000000002</v>
      </c>
      <c r="J83" s="23">
        <f t="shared" si="19"/>
        <v>0</v>
      </c>
      <c r="K83" s="23">
        <f t="shared" si="20"/>
        <v>0</v>
      </c>
      <c r="L83" s="23">
        <f t="shared" si="21"/>
        <v>0</v>
      </c>
      <c r="M83" s="23">
        <f t="shared" si="22"/>
        <v>0</v>
      </c>
    </row>
    <row r="84" spans="1:13" ht="12.75">
      <c r="A84" s="15">
        <v>31</v>
      </c>
      <c r="B84" s="54" t="s">
        <v>713</v>
      </c>
      <c r="C84" s="56" t="s">
        <v>17</v>
      </c>
      <c r="D84" s="56" t="s">
        <v>52</v>
      </c>
      <c r="E84" s="57">
        <v>2015</v>
      </c>
      <c r="F84" s="21">
        <v>1.7</v>
      </c>
      <c r="G84" s="8">
        <v>2015</v>
      </c>
      <c r="I84" s="23">
        <f t="shared" si="18"/>
        <v>1.7000000000000002</v>
      </c>
      <c r="J84" s="23">
        <f t="shared" si="19"/>
        <v>0</v>
      </c>
      <c r="K84" s="23">
        <f t="shared" si="20"/>
        <v>0</v>
      </c>
      <c r="L84" s="23">
        <f t="shared" si="21"/>
        <v>0</v>
      </c>
      <c r="M84" s="23">
        <f t="shared" si="22"/>
        <v>0</v>
      </c>
    </row>
    <row r="85" spans="1:13" ht="12.75">
      <c r="A85" s="15">
        <v>32</v>
      </c>
      <c r="B85" s="54" t="s">
        <v>726</v>
      </c>
      <c r="C85" s="56" t="s">
        <v>19</v>
      </c>
      <c r="D85" s="11" t="s">
        <v>46</v>
      </c>
      <c r="E85" s="20">
        <v>2015</v>
      </c>
      <c r="F85" s="21">
        <v>1.7</v>
      </c>
      <c r="G85" s="8">
        <v>2015</v>
      </c>
      <c r="I85" s="23">
        <f aca="true" t="shared" si="23" ref="I85:I92">+CEILING(IF($I$52=E85,F85,IF($I$52&lt;=G85,F85*0.3,0)),0.05)</f>
        <v>1.7000000000000002</v>
      </c>
      <c r="J85" s="23">
        <f aca="true" t="shared" si="24" ref="J85:J92">+CEILING(IF($J$52&lt;=G85,F85*0.3,0),0.05)</f>
        <v>0</v>
      </c>
      <c r="K85" s="23">
        <f aca="true" t="shared" si="25" ref="K85:K92">+CEILING(IF($K$52&lt;=G85,F85*0.3,0),0.05)</f>
        <v>0</v>
      </c>
      <c r="L85" s="23">
        <f aca="true" t="shared" si="26" ref="L85:L92">+CEILING(IF($L$52&lt;=G85,F85*0.3,0),0.05)</f>
        <v>0</v>
      </c>
      <c r="M85" s="23">
        <f aca="true" t="shared" si="27" ref="M85:M92">CEILING(IF($M$52&lt;=G85,F85*0.3,0),0.05)</f>
        <v>0</v>
      </c>
    </row>
    <row r="86" spans="1:13" ht="12.75">
      <c r="A86" s="15">
        <v>33</v>
      </c>
      <c r="B86" s="54" t="s">
        <v>743</v>
      </c>
      <c r="C86" s="56" t="s">
        <v>37</v>
      </c>
      <c r="D86" s="11" t="s">
        <v>43</v>
      </c>
      <c r="E86" s="20">
        <v>2015</v>
      </c>
      <c r="F86" s="21">
        <v>1.7</v>
      </c>
      <c r="G86" s="8">
        <v>2015</v>
      </c>
      <c r="I86" s="23">
        <f t="shared" si="23"/>
        <v>1.7000000000000002</v>
      </c>
      <c r="J86" s="23">
        <f t="shared" si="24"/>
        <v>0</v>
      </c>
      <c r="K86" s="23">
        <f t="shared" si="25"/>
        <v>0</v>
      </c>
      <c r="L86" s="23">
        <f t="shared" si="26"/>
        <v>0</v>
      </c>
      <c r="M86" s="23">
        <f t="shared" si="27"/>
        <v>0</v>
      </c>
    </row>
    <row r="87" spans="1:13" ht="12.75">
      <c r="A87" s="15">
        <v>34</v>
      </c>
      <c r="B87" s="54" t="s">
        <v>621</v>
      </c>
      <c r="C87" s="56" t="s">
        <v>17</v>
      </c>
      <c r="D87" s="56" t="s">
        <v>35</v>
      </c>
      <c r="E87" s="57">
        <v>2015</v>
      </c>
      <c r="F87" s="21">
        <v>1.7</v>
      </c>
      <c r="G87" s="8">
        <v>2015</v>
      </c>
      <c r="I87" s="23">
        <f t="shared" si="23"/>
        <v>1.7000000000000002</v>
      </c>
      <c r="J87" s="23">
        <f t="shared" si="24"/>
        <v>0</v>
      </c>
      <c r="K87" s="23">
        <f t="shared" si="25"/>
        <v>0</v>
      </c>
      <c r="L87" s="23">
        <f t="shared" si="26"/>
        <v>0</v>
      </c>
      <c r="M87" s="23">
        <f t="shared" si="27"/>
        <v>0</v>
      </c>
    </row>
    <row r="88" spans="1:13" ht="12.75">
      <c r="A88" s="15">
        <v>35</v>
      </c>
      <c r="B88" s="10" t="s">
        <v>695</v>
      </c>
      <c r="C88" s="11" t="s">
        <v>40</v>
      </c>
      <c r="D88" s="56" t="s">
        <v>33</v>
      </c>
      <c r="E88" s="56">
        <v>2015</v>
      </c>
      <c r="F88" s="16">
        <v>1.7</v>
      </c>
      <c r="G88" s="17">
        <v>2015</v>
      </c>
      <c r="I88" s="23">
        <f t="shared" si="23"/>
        <v>1.7000000000000002</v>
      </c>
      <c r="J88" s="23">
        <f t="shared" si="24"/>
        <v>0</v>
      </c>
      <c r="K88" s="23">
        <f t="shared" si="25"/>
        <v>0</v>
      </c>
      <c r="L88" s="23">
        <f t="shared" si="26"/>
        <v>0</v>
      </c>
      <c r="M88" s="23">
        <f t="shared" si="27"/>
        <v>0</v>
      </c>
    </row>
    <row r="89" spans="1:13" ht="12.75">
      <c r="A89" s="15">
        <v>36</v>
      </c>
      <c r="B89" s="42"/>
      <c r="C89" s="56"/>
      <c r="D89" s="11"/>
      <c r="E89" s="20"/>
      <c r="F89" s="21"/>
      <c r="G89" s="8"/>
      <c r="I89" s="23">
        <f t="shared" si="23"/>
        <v>0</v>
      </c>
      <c r="J89" s="23">
        <f t="shared" si="24"/>
        <v>0</v>
      </c>
      <c r="K89" s="23">
        <f t="shared" si="25"/>
        <v>0</v>
      </c>
      <c r="L89" s="23">
        <f t="shared" si="26"/>
        <v>0</v>
      </c>
      <c r="M89" s="23">
        <f t="shared" si="27"/>
        <v>0</v>
      </c>
    </row>
    <row r="90" spans="1:13" ht="12.75">
      <c r="A90" s="15">
        <v>37</v>
      </c>
      <c r="B90" s="54"/>
      <c r="D90" s="11"/>
      <c r="E90" s="20"/>
      <c r="F90" s="21"/>
      <c r="G90" s="8"/>
      <c r="I90" s="23">
        <f t="shared" si="23"/>
        <v>0</v>
      </c>
      <c r="J90" s="23">
        <f t="shared" si="24"/>
        <v>0</v>
      </c>
      <c r="K90" s="23">
        <f t="shared" si="25"/>
        <v>0</v>
      </c>
      <c r="L90" s="23">
        <f t="shared" si="26"/>
        <v>0</v>
      </c>
      <c r="M90" s="23">
        <f t="shared" si="27"/>
        <v>0</v>
      </c>
    </row>
    <row r="91" spans="1:13" ht="12.75">
      <c r="A91" s="15">
        <v>38</v>
      </c>
      <c r="D91" s="11"/>
      <c r="E91" s="20"/>
      <c r="F91" s="21"/>
      <c r="G91" s="8"/>
      <c r="I91" s="23">
        <f t="shared" si="23"/>
        <v>0</v>
      </c>
      <c r="J91" s="23">
        <f t="shared" si="24"/>
        <v>0</v>
      </c>
      <c r="K91" s="23">
        <f t="shared" si="25"/>
        <v>0</v>
      </c>
      <c r="L91" s="23">
        <f t="shared" si="26"/>
        <v>0</v>
      </c>
      <c r="M91" s="23">
        <f t="shared" si="27"/>
        <v>0</v>
      </c>
    </row>
    <row r="92" spans="1:13" ht="12.75">
      <c r="A92" s="15">
        <v>39</v>
      </c>
      <c r="B92" s="54"/>
      <c r="D92" s="56"/>
      <c r="E92" s="57"/>
      <c r="F92" s="21"/>
      <c r="G92" s="8"/>
      <c r="I92" s="23">
        <f t="shared" si="23"/>
        <v>0</v>
      </c>
      <c r="J92" s="23">
        <f t="shared" si="24"/>
        <v>0</v>
      </c>
      <c r="K92" s="23">
        <f t="shared" si="25"/>
        <v>0</v>
      </c>
      <c r="L92" s="23">
        <f t="shared" si="26"/>
        <v>0</v>
      </c>
      <c r="M92" s="23">
        <f t="shared" si="27"/>
        <v>0</v>
      </c>
    </row>
    <row r="93" spans="9:13" ht="7.5" customHeight="1">
      <c r="I93" s="23"/>
      <c r="J93" s="23"/>
      <c r="K93" s="23"/>
      <c r="L93" s="23"/>
      <c r="M93" s="23"/>
    </row>
    <row r="94" spans="9:13" ht="12.75">
      <c r="I94" s="24">
        <f>+SUM(I54:I93)</f>
        <v>63.35000000000005</v>
      </c>
      <c r="J94" s="24">
        <f>+SUM(J54:J93)</f>
        <v>7.45</v>
      </c>
      <c r="K94" s="24">
        <f>+SUM(K54:K93)</f>
        <v>3.9000000000000004</v>
      </c>
      <c r="L94" s="24">
        <f>+SUM(L54:L93)</f>
        <v>0.7000000000000001</v>
      </c>
      <c r="M94" s="24">
        <f>+SUM(M54:M93)</f>
        <v>0</v>
      </c>
    </row>
    <row r="95" spans="9:13" ht="12.75">
      <c r="I95" s="19"/>
      <c r="J95" s="19"/>
      <c r="K95" s="19"/>
      <c r="L95" s="19"/>
      <c r="M95" s="19"/>
    </row>
  </sheetData>
  <sheetProtection/>
  <mergeCells count="3">
    <mergeCell ref="A1:M1"/>
    <mergeCell ref="A50:M50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Light,Bold"&amp;14John Adkisson&amp;R&amp;"Copperplate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10" t="s">
        <v>440</v>
      </c>
      <c r="C5" s="11" t="s">
        <v>19</v>
      </c>
      <c r="D5" s="11" t="s">
        <v>226</v>
      </c>
      <c r="E5" s="20" t="s">
        <v>441</v>
      </c>
      <c r="F5" s="16">
        <v>27</v>
      </c>
      <c r="G5" s="17">
        <v>2019</v>
      </c>
      <c r="I5" s="23">
        <f aca="true" t="shared" si="0" ref="I5:M14">+IF($G5&gt;=I$3,$F5,0)</f>
        <v>27</v>
      </c>
      <c r="J5" s="23">
        <f t="shared" si="0"/>
        <v>27</v>
      </c>
      <c r="K5" s="23">
        <f t="shared" si="0"/>
        <v>27</v>
      </c>
      <c r="L5" s="23">
        <f t="shared" si="0"/>
        <v>27</v>
      </c>
      <c r="M5" s="23">
        <f t="shared" si="0"/>
        <v>27</v>
      </c>
    </row>
    <row r="6" spans="1:13" ht="12.75">
      <c r="A6" s="15">
        <v>2</v>
      </c>
      <c r="B6" s="54" t="s">
        <v>369</v>
      </c>
      <c r="C6" s="11" t="s">
        <v>17</v>
      </c>
      <c r="D6" s="11" t="s">
        <v>81</v>
      </c>
      <c r="E6" s="57" t="s">
        <v>437</v>
      </c>
      <c r="F6" s="21">
        <v>15.75</v>
      </c>
      <c r="G6" s="8">
        <v>2018</v>
      </c>
      <c r="I6" s="23">
        <f t="shared" si="0"/>
        <v>15.75</v>
      </c>
      <c r="J6" s="23">
        <f t="shared" si="0"/>
        <v>15.75</v>
      </c>
      <c r="K6" s="23">
        <f t="shared" si="0"/>
        <v>15.75</v>
      </c>
      <c r="L6" s="23">
        <f t="shared" si="0"/>
        <v>15.75</v>
      </c>
      <c r="M6" s="23">
        <f t="shared" si="0"/>
        <v>0</v>
      </c>
    </row>
    <row r="7" spans="1:13" ht="12.75">
      <c r="A7" s="15">
        <v>3</v>
      </c>
      <c r="B7" s="59" t="s">
        <v>382</v>
      </c>
      <c r="C7" s="11" t="s">
        <v>37</v>
      </c>
      <c r="D7" s="11" t="s">
        <v>52</v>
      </c>
      <c r="E7" s="20" t="s">
        <v>437</v>
      </c>
      <c r="F7" s="21">
        <v>1.55</v>
      </c>
      <c r="G7" s="8">
        <v>2018</v>
      </c>
      <c r="I7" s="23">
        <f t="shared" si="0"/>
        <v>1.55</v>
      </c>
      <c r="J7" s="23">
        <f t="shared" si="0"/>
        <v>1.55</v>
      </c>
      <c r="K7" s="23">
        <f t="shared" si="0"/>
        <v>1.55</v>
      </c>
      <c r="L7" s="23">
        <f t="shared" si="0"/>
        <v>1.55</v>
      </c>
      <c r="M7" s="23">
        <f t="shared" si="0"/>
        <v>0</v>
      </c>
    </row>
    <row r="8" spans="1:13" ht="12.75">
      <c r="A8" s="15">
        <v>4</v>
      </c>
      <c r="B8" s="59" t="s">
        <v>367</v>
      </c>
      <c r="C8" s="11" t="s">
        <v>17</v>
      </c>
      <c r="D8" s="11" t="s">
        <v>48</v>
      </c>
      <c r="E8" s="57" t="s">
        <v>437</v>
      </c>
      <c r="F8" s="25">
        <v>19</v>
      </c>
      <c r="G8" s="11">
        <v>2017</v>
      </c>
      <c r="I8" s="23">
        <f t="shared" si="0"/>
        <v>19</v>
      </c>
      <c r="J8" s="23">
        <f t="shared" si="0"/>
        <v>19</v>
      </c>
      <c r="K8" s="23">
        <f t="shared" si="0"/>
        <v>19</v>
      </c>
      <c r="L8" s="23">
        <f t="shared" si="0"/>
        <v>0</v>
      </c>
      <c r="M8" s="23">
        <f t="shared" si="0"/>
        <v>0</v>
      </c>
    </row>
    <row r="9" spans="1:13" ht="12.75">
      <c r="A9" s="15">
        <v>5</v>
      </c>
      <c r="B9" s="42" t="s">
        <v>442</v>
      </c>
      <c r="C9" s="11" t="s">
        <v>40</v>
      </c>
      <c r="D9" s="11" t="s">
        <v>48</v>
      </c>
      <c r="E9" s="20" t="s">
        <v>441</v>
      </c>
      <c r="F9" s="21">
        <v>13.8</v>
      </c>
      <c r="G9" s="8">
        <v>2017</v>
      </c>
      <c r="I9" s="23">
        <f t="shared" si="0"/>
        <v>13.8</v>
      </c>
      <c r="J9" s="23">
        <f t="shared" si="0"/>
        <v>13.8</v>
      </c>
      <c r="K9" s="23">
        <f t="shared" si="0"/>
        <v>13.8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54" t="s">
        <v>250</v>
      </c>
      <c r="C10" s="11" t="s">
        <v>26</v>
      </c>
      <c r="D10" s="11" t="s">
        <v>35</v>
      </c>
      <c r="E10" s="20" t="s">
        <v>517</v>
      </c>
      <c r="F10" s="25">
        <v>12.25</v>
      </c>
      <c r="G10" s="11">
        <v>2017</v>
      </c>
      <c r="I10" s="23">
        <f t="shared" si="0"/>
        <v>12.25</v>
      </c>
      <c r="J10" s="23">
        <f t="shared" si="0"/>
        <v>12.25</v>
      </c>
      <c r="K10" s="23">
        <f t="shared" si="0"/>
        <v>12.25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35" t="s">
        <v>242</v>
      </c>
      <c r="C11" s="11" t="s">
        <v>18</v>
      </c>
      <c r="D11" s="11" t="s">
        <v>88</v>
      </c>
      <c r="E11" s="20" t="s">
        <v>517</v>
      </c>
      <c r="F11" s="21">
        <v>10.25</v>
      </c>
      <c r="G11" s="8">
        <v>2017</v>
      </c>
      <c r="I11" s="23">
        <f t="shared" si="0"/>
        <v>10.25</v>
      </c>
      <c r="J11" s="23">
        <f t="shared" si="0"/>
        <v>10.25</v>
      </c>
      <c r="K11" s="23">
        <f t="shared" si="0"/>
        <v>10.25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10" t="s">
        <v>251</v>
      </c>
      <c r="C12" s="11" t="s">
        <v>19</v>
      </c>
      <c r="D12" s="56" t="s">
        <v>16</v>
      </c>
      <c r="E12" s="20" t="s">
        <v>517</v>
      </c>
      <c r="F12" s="21">
        <v>8.1</v>
      </c>
      <c r="G12" s="8">
        <v>2017</v>
      </c>
      <c r="I12" s="23">
        <f t="shared" si="0"/>
        <v>8.1</v>
      </c>
      <c r="J12" s="23">
        <f t="shared" si="0"/>
        <v>8.1</v>
      </c>
      <c r="K12" s="23">
        <f t="shared" si="0"/>
        <v>8.1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89" t="s">
        <v>568</v>
      </c>
      <c r="C13" s="56" t="s">
        <v>19</v>
      </c>
      <c r="D13" s="56" t="s">
        <v>23</v>
      </c>
      <c r="E13" s="57" t="s">
        <v>441</v>
      </c>
      <c r="F13" s="21">
        <v>1.7</v>
      </c>
      <c r="G13" s="8">
        <v>2017</v>
      </c>
      <c r="I13" s="23">
        <f t="shared" si="0"/>
        <v>1.7</v>
      </c>
      <c r="J13" s="23">
        <f t="shared" si="0"/>
        <v>1.7</v>
      </c>
      <c r="K13" s="23">
        <f t="shared" si="0"/>
        <v>1.7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10" t="s">
        <v>330</v>
      </c>
      <c r="C14" s="11" t="s">
        <v>17</v>
      </c>
      <c r="D14" s="56" t="s">
        <v>27</v>
      </c>
      <c r="E14" s="20" t="s">
        <v>517</v>
      </c>
      <c r="F14" s="25">
        <v>1.65</v>
      </c>
      <c r="G14" s="11">
        <v>2017</v>
      </c>
      <c r="I14" s="23">
        <f t="shared" si="0"/>
        <v>1.65</v>
      </c>
      <c r="J14" s="23">
        <f t="shared" si="0"/>
        <v>1.65</v>
      </c>
      <c r="K14" s="23">
        <f t="shared" si="0"/>
        <v>1.65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10" t="s">
        <v>101</v>
      </c>
      <c r="C15" s="11" t="s">
        <v>40</v>
      </c>
      <c r="D15" s="11" t="s">
        <v>438</v>
      </c>
      <c r="E15" s="20" t="s">
        <v>517</v>
      </c>
      <c r="F15" s="21">
        <v>1.4</v>
      </c>
      <c r="G15" s="8">
        <v>2017</v>
      </c>
      <c r="I15" s="23">
        <f aca="true" t="shared" si="1" ref="I15:M24">+IF($G15&gt;=I$3,$F15,0)</f>
        <v>1.4</v>
      </c>
      <c r="J15" s="23">
        <f t="shared" si="1"/>
        <v>1.4</v>
      </c>
      <c r="K15" s="23">
        <f t="shared" si="1"/>
        <v>1.4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49" t="s">
        <v>319</v>
      </c>
      <c r="C16" s="11" t="s">
        <v>31</v>
      </c>
      <c r="D16" s="58" t="s">
        <v>85</v>
      </c>
      <c r="E16" s="20" t="s">
        <v>517</v>
      </c>
      <c r="F16" s="21">
        <v>1.4</v>
      </c>
      <c r="G16" s="8">
        <v>2017</v>
      </c>
      <c r="I16" s="23">
        <f t="shared" si="1"/>
        <v>1.4</v>
      </c>
      <c r="J16" s="23">
        <f t="shared" si="1"/>
        <v>1.4</v>
      </c>
      <c r="K16" s="23">
        <f t="shared" si="1"/>
        <v>1.4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42" t="s">
        <v>333</v>
      </c>
      <c r="C17" s="11" t="s">
        <v>19</v>
      </c>
      <c r="D17" s="56" t="s">
        <v>34</v>
      </c>
      <c r="E17" s="20" t="s">
        <v>517</v>
      </c>
      <c r="F17" s="21">
        <v>1.4</v>
      </c>
      <c r="G17" s="8">
        <v>2017</v>
      </c>
      <c r="I17" s="23">
        <f t="shared" si="1"/>
        <v>1.4</v>
      </c>
      <c r="J17" s="23">
        <f t="shared" si="1"/>
        <v>1.4</v>
      </c>
      <c r="K17" s="23">
        <f t="shared" si="1"/>
        <v>1.4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54" t="s">
        <v>368</v>
      </c>
      <c r="C18" s="11" t="s">
        <v>37</v>
      </c>
      <c r="D18" s="11" t="s">
        <v>81</v>
      </c>
      <c r="E18" s="57" t="s">
        <v>47</v>
      </c>
      <c r="F18" s="21">
        <v>7.05</v>
      </c>
      <c r="G18" s="8">
        <v>2016</v>
      </c>
      <c r="I18" s="23">
        <f t="shared" si="1"/>
        <v>7.05</v>
      </c>
      <c r="J18" s="23">
        <f t="shared" si="1"/>
        <v>7.05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4" t="s">
        <v>370</v>
      </c>
      <c r="C19" s="11" t="s">
        <v>15</v>
      </c>
      <c r="D19" s="11" t="s">
        <v>35</v>
      </c>
      <c r="E19" s="57" t="s">
        <v>47</v>
      </c>
      <c r="F19" s="21">
        <v>6.55</v>
      </c>
      <c r="G19" s="8">
        <v>2016</v>
      </c>
      <c r="I19" s="23">
        <f t="shared" si="1"/>
        <v>6.55</v>
      </c>
      <c r="J19" s="23">
        <f t="shared" si="1"/>
        <v>6.55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4" t="s">
        <v>489</v>
      </c>
      <c r="C20" s="11" t="s">
        <v>31</v>
      </c>
      <c r="D20" s="56" t="s">
        <v>35</v>
      </c>
      <c r="E20" s="20" t="s">
        <v>441</v>
      </c>
      <c r="F20" s="21">
        <v>6.55</v>
      </c>
      <c r="G20" s="8">
        <v>2016</v>
      </c>
      <c r="I20" s="23">
        <f t="shared" si="1"/>
        <v>6.55</v>
      </c>
      <c r="J20" s="23">
        <f t="shared" si="1"/>
        <v>6.55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9" t="s">
        <v>383</v>
      </c>
      <c r="C21" s="11" t="s">
        <v>37</v>
      </c>
      <c r="D21" s="56" t="s">
        <v>226</v>
      </c>
      <c r="E21" s="20" t="s">
        <v>47</v>
      </c>
      <c r="F21" s="23">
        <v>3.95</v>
      </c>
      <c r="G21" s="20">
        <v>2016</v>
      </c>
      <c r="I21" s="23">
        <f t="shared" si="1"/>
        <v>3.95</v>
      </c>
      <c r="J21" s="23">
        <f t="shared" si="1"/>
        <v>3.95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10" t="s">
        <v>148</v>
      </c>
      <c r="C22" s="11" t="s">
        <v>17</v>
      </c>
      <c r="D22" s="11" t="s">
        <v>23</v>
      </c>
      <c r="E22" s="11" t="s">
        <v>433</v>
      </c>
      <c r="F22" s="25">
        <v>8.55</v>
      </c>
      <c r="G22" s="11">
        <v>2015</v>
      </c>
      <c r="I22" s="23">
        <f t="shared" si="1"/>
        <v>8.55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4" t="s">
        <v>124</v>
      </c>
      <c r="C23" s="11" t="s">
        <v>37</v>
      </c>
      <c r="D23" s="11" t="s">
        <v>38</v>
      </c>
      <c r="E23" s="20" t="s">
        <v>519</v>
      </c>
      <c r="F23" s="23">
        <v>6.65</v>
      </c>
      <c r="G23" s="20">
        <v>2015</v>
      </c>
      <c r="I23" s="23">
        <f t="shared" si="1"/>
        <v>6.65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89" t="s">
        <v>585</v>
      </c>
      <c r="C24" s="56" t="s">
        <v>37</v>
      </c>
      <c r="D24" s="56" t="s">
        <v>36</v>
      </c>
      <c r="E24" s="57" t="s">
        <v>441</v>
      </c>
      <c r="F24" s="21">
        <v>1.7</v>
      </c>
      <c r="G24" s="8">
        <v>2015</v>
      </c>
      <c r="I24" s="23">
        <f t="shared" si="1"/>
        <v>1.7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10" t="s">
        <v>669</v>
      </c>
      <c r="C25" s="11" t="s">
        <v>26</v>
      </c>
      <c r="D25" s="11" t="s">
        <v>226</v>
      </c>
      <c r="E25" s="20" t="s">
        <v>594</v>
      </c>
      <c r="F25" s="21">
        <v>1.7</v>
      </c>
      <c r="G25" s="8">
        <v>2015</v>
      </c>
      <c r="I25" s="23">
        <f aca="true" t="shared" si="2" ref="I25:M32">+IF($G25&gt;=I$3,$F25,0)</f>
        <v>1.7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54" t="s">
        <v>598</v>
      </c>
      <c r="C26" s="11" t="s">
        <v>17</v>
      </c>
      <c r="D26" s="56" t="s">
        <v>32</v>
      </c>
      <c r="E26" s="20" t="s">
        <v>594</v>
      </c>
      <c r="F26" s="21">
        <v>1.7</v>
      </c>
      <c r="G26" s="8">
        <v>2015</v>
      </c>
      <c r="I26" s="23">
        <f t="shared" si="2"/>
        <v>1.7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10" t="s">
        <v>608</v>
      </c>
      <c r="C27" s="11" t="s">
        <v>17</v>
      </c>
      <c r="D27" s="11" t="s">
        <v>36</v>
      </c>
      <c r="E27" s="11" t="s">
        <v>594</v>
      </c>
      <c r="F27" s="25">
        <v>1.7</v>
      </c>
      <c r="G27" s="11">
        <v>2015</v>
      </c>
      <c r="I27" s="23">
        <f t="shared" si="2"/>
        <v>1.7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4" t="s">
        <v>627</v>
      </c>
      <c r="C28" s="56" t="s">
        <v>37</v>
      </c>
      <c r="D28" s="56" t="s">
        <v>85</v>
      </c>
      <c r="E28" s="20" t="s">
        <v>594</v>
      </c>
      <c r="F28" s="21">
        <v>1.7</v>
      </c>
      <c r="G28" s="8">
        <v>2015</v>
      </c>
      <c r="I28" s="23">
        <f t="shared" si="2"/>
        <v>1.7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54" t="s">
        <v>685</v>
      </c>
      <c r="C29" s="56" t="s">
        <v>37</v>
      </c>
      <c r="D29" s="56" t="s">
        <v>16</v>
      </c>
      <c r="E29" s="57" t="s">
        <v>594</v>
      </c>
      <c r="F29" s="21">
        <v>1.7</v>
      </c>
      <c r="G29" s="8">
        <v>2015</v>
      </c>
      <c r="I29" s="23">
        <f t="shared" si="2"/>
        <v>1.7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54" t="s">
        <v>656</v>
      </c>
      <c r="C30" s="11" t="s">
        <v>17</v>
      </c>
      <c r="D30" s="11" t="s">
        <v>34</v>
      </c>
      <c r="E30" s="20" t="s">
        <v>594</v>
      </c>
      <c r="F30" s="25">
        <v>1.7</v>
      </c>
      <c r="G30" s="11">
        <v>2015</v>
      </c>
      <c r="I30" s="23">
        <f t="shared" si="2"/>
        <v>1.7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4" t="s">
        <v>667</v>
      </c>
      <c r="C31" s="11" t="s">
        <v>37</v>
      </c>
      <c r="D31" s="56" t="s">
        <v>22</v>
      </c>
      <c r="E31" s="20" t="s">
        <v>594</v>
      </c>
      <c r="F31" s="21">
        <v>1.7</v>
      </c>
      <c r="G31" s="8">
        <v>2015</v>
      </c>
      <c r="I31" s="23">
        <f t="shared" si="2"/>
        <v>1.7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10" t="s">
        <v>149</v>
      </c>
      <c r="C32" s="11" t="s">
        <v>19</v>
      </c>
      <c r="D32" s="11" t="s">
        <v>52</v>
      </c>
      <c r="E32" s="20" t="s">
        <v>519</v>
      </c>
      <c r="F32" s="16">
        <v>1.6</v>
      </c>
      <c r="G32" s="17">
        <v>2015</v>
      </c>
      <c r="I32" s="23">
        <f t="shared" si="2"/>
        <v>1.6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4:13" ht="7.5" customHeight="1">
      <c r="D33" s="11"/>
      <c r="E33" s="20"/>
      <c r="F33" s="16"/>
      <c r="G33" s="17"/>
      <c r="I33" s="22"/>
      <c r="J33" s="22"/>
      <c r="K33" s="22"/>
      <c r="L33" s="22"/>
      <c r="M33" s="22"/>
    </row>
    <row r="34" spans="2:13" ht="12.75">
      <c r="B34" s="44"/>
      <c r="C34" s="45"/>
      <c r="D34" s="45"/>
      <c r="E34" s="46"/>
      <c r="F34" s="47"/>
      <c r="G34" s="48"/>
      <c r="I34" s="24">
        <f>+SUM(I5:I32)</f>
        <v>169.74999999999994</v>
      </c>
      <c r="J34" s="24">
        <f>+SUM(J5:J32)</f>
        <v>139.35000000000002</v>
      </c>
      <c r="K34" s="24">
        <f>+SUM(K5:K32)</f>
        <v>115.25000000000001</v>
      </c>
      <c r="L34" s="24">
        <f>+SUM(L5:L32)</f>
        <v>44.3</v>
      </c>
      <c r="M34" s="24">
        <f>+SUM(M5:M32)</f>
        <v>27</v>
      </c>
    </row>
    <row r="35" spans="2:13" ht="12.75">
      <c r="B35" s="22"/>
      <c r="D35" s="11"/>
      <c r="E35" s="20"/>
      <c r="F35" s="21"/>
      <c r="G35" s="8"/>
      <c r="I35" s="24"/>
      <c r="J35" s="24"/>
      <c r="K35" s="24"/>
      <c r="L35" s="24"/>
      <c r="M35" s="24"/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2015</v>
      </c>
      <c r="J38" s="14">
        <f>+J$3</f>
        <v>2016</v>
      </c>
      <c r="K38" s="14">
        <f>+K$3</f>
        <v>2017</v>
      </c>
      <c r="L38" s="14">
        <f>+L$3</f>
        <v>2018</v>
      </c>
      <c r="M38" s="14">
        <f>+M$3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49" t="s">
        <v>205</v>
      </c>
      <c r="C40" s="11" t="s">
        <v>18</v>
      </c>
      <c r="D40" s="58" t="s">
        <v>81</v>
      </c>
      <c r="E40" s="20" t="s">
        <v>518</v>
      </c>
      <c r="F40" s="21">
        <v>1.3</v>
      </c>
      <c r="G40" s="8">
        <v>2016</v>
      </c>
      <c r="I40" s="23">
        <f aca="true" t="shared" si="3" ref="I40:I46">+CEILING(IF($I$38&lt;=G40,F40*0.3,0),0.05)</f>
        <v>0.4</v>
      </c>
      <c r="J40" s="23">
        <f aca="true" t="shared" si="4" ref="J40:J46">+CEILING(IF($J$38&lt;=G40,F40*0.3,0),0.05)</f>
        <v>0.4</v>
      </c>
      <c r="K40" s="23">
        <f aca="true" t="shared" si="5" ref="K40:K46">+CEILING(IF($K$38&lt;=G40,F40*0.3,0),0.05)</f>
        <v>0</v>
      </c>
      <c r="L40" s="23">
        <f aca="true" t="shared" si="6" ref="L40:L46">+CEILING(IF($L$38&lt;=G40,F40*0.3,0),0.05)</f>
        <v>0</v>
      </c>
      <c r="M40" s="23">
        <f aca="true" t="shared" si="7" ref="M40:M46">+CEILING(IF($M$38&lt;=G40,F40*0.3,0),0.05)</f>
        <v>0</v>
      </c>
    </row>
    <row r="41" spans="1:13" ht="12.75">
      <c r="A41" s="15">
        <v>2</v>
      </c>
      <c r="B41" s="35"/>
      <c r="D41" s="11"/>
      <c r="E41" s="20"/>
      <c r="F41" s="23"/>
      <c r="G41" s="20"/>
      <c r="I41" s="23">
        <f t="shared" si="3"/>
        <v>0</v>
      </c>
      <c r="J41" s="23">
        <f t="shared" si="4"/>
        <v>0</v>
      </c>
      <c r="K41" s="23">
        <f t="shared" si="5"/>
        <v>0</v>
      </c>
      <c r="L41" s="23">
        <f t="shared" si="6"/>
        <v>0</v>
      </c>
      <c r="M41" s="23">
        <f t="shared" si="7"/>
        <v>0</v>
      </c>
    </row>
    <row r="42" spans="1:13" ht="12.75">
      <c r="A42" s="15">
        <v>3</v>
      </c>
      <c r="B42" s="30"/>
      <c r="D42" s="11"/>
      <c r="E42" s="20"/>
      <c r="F42" s="21"/>
      <c r="G42" s="8"/>
      <c r="I42" s="23">
        <f t="shared" si="3"/>
        <v>0</v>
      </c>
      <c r="J42" s="23">
        <f t="shared" si="4"/>
        <v>0</v>
      </c>
      <c r="K42" s="23">
        <f t="shared" si="5"/>
        <v>0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D43" s="11"/>
      <c r="E43" s="20"/>
      <c r="F43" s="25"/>
      <c r="G43" s="11"/>
      <c r="I43" s="23">
        <f t="shared" si="3"/>
        <v>0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30"/>
      <c r="D44" s="11"/>
      <c r="E44" s="20"/>
      <c r="F44" s="23"/>
      <c r="G44" s="20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35"/>
      <c r="D45" s="11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76</v>
      </c>
      <c r="B46" s="35"/>
      <c r="C46" s="31" t="s">
        <v>82</v>
      </c>
      <c r="D46" s="31" t="s">
        <v>82</v>
      </c>
      <c r="E46" s="37" t="s">
        <v>82</v>
      </c>
      <c r="F46" s="21"/>
      <c r="G46" s="8"/>
      <c r="I46" s="23">
        <f t="shared" si="3"/>
        <v>0</v>
      </c>
      <c r="J46" s="23">
        <f t="shared" si="4"/>
        <v>0</v>
      </c>
      <c r="K46" s="23">
        <f t="shared" si="5"/>
        <v>0</v>
      </c>
      <c r="L46" s="23">
        <f t="shared" si="6"/>
        <v>0</v>
      </c>
      <c r="M46" s="23">
        <f t="shared" si="7"/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B48" s="35"/>
      <c r="D48" s="11"/>
      <c r="E48" s="20"/>
      <c r="F48" s="21"/>
      <c r="G48" s="8"/>
      <c r="I48" s="19">
        <f>+SUM(I40:I47)</f>
        <v>0.4</v>
      </c>
      <c r="J48" s="19">
        <f>+SUM(J40:J47)</f>
        <v>0.4</v>
      </c>
      <c r="K48" s="19">
        <f>+SUM(K40:K47)</f>
        <v>0</v>
      </c>
      <c r="L48" s="19">
        <f>+SUM(L40:L47)</f>
        <v>0</v>
      </c>
      <c r="M48" s="19">
        <f>+SUM(M40:M47)</f>
        <v>0</v>
      </c>
    </row>
    <row r="50" spans="1:13" ht="15.75">
      <c r="A50" s="140" t="s">
        <v>49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2015</v>
      </c>
      <c r="J52" s="14">
        <f>+J$3</f>
        <v>2016</v>
      </c>
      <c r="K52" s="14">
        <f>+K$3</f>
        <v>2017</v>
      </c>
      <c r="L52" s="14">
        <f>+L$3</f>
        <v>2018</v>
      </c>
      <c r="M52" s="14">
        <f>+M$3</f>
        <v>2019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49" t="s">
        <v>289</v>
      </c>
      <c r="C54" s="11" t="s">
        <v>19</v>
      </c>
      <c r="D54" s="11" t="s">
        <v>27</v>
      </c>
      <c r="E54" s="20">
        <v>2015</v>
      </c>
      <c r="F54" s="21">
        <v>4.4</v>
      </c>
      <c r="G54" s="8">
        <v>2017</v>
      </c>
      <c r="I54" s="23">
        <f aca="true" t="shared" si="8" ref="I54:I59">+CEILING(IF($I$52=E54,F54,IF($I$52&lt;=G54,F54*0.3,0)),0.05)</f>
        <v>4.4</v>
      </c>
      <c r="J54" s="23">
        <f aca="true" t="shared" si="9" ref="J54:J59">+CEILING(IF($J$52&lt;=G54,F54*0.3,0),0.05)</f>
        <v>1.35</v>
      </c>
      <c r="K54" s="23">
        <f aca="true" t="shared" si="10" ref="K54:K59">+CEILING(IF($K$52&lt;=G54,F54*0.3,0),0.05)</f>
        <v>1.35</v>
      </c>
      <c r="L54" s="23">
        <f aca="true" t="shared" si="11" ref="L54:L59">+CEILING(IF($L$52&lt;=G54,F54*0.3,0),0.05)</f>
        <v>0</v>
      </c>
      <c r="M54" s="23">
        <f aca="true" t="shared" si="12" ref="M54:M59">CEILING(IF($M$52&lt;=G54,F54*0.3,0),0.05)</f>
        <v>0</v>
      </c>
    </row>
    <row r="55" spans="1:13" ht="12.75">
      <c r="A55" s="15">
        <v>2</v>
      </c>
      <c r="B55" s="44" t="s">
        <v>110</v>
      </c>
      <c r="C55" s="11" t="s">
        <v>15</v>
      </c>
      <c r="D55" s="11" t="s">
        <v>21</v>
      </c>
      <c r="E55" s="20">
        <v>2013</v>
      </c>
      <c r="F55" s="25">
        <v>1.85</v>
      </c>
      <c r="G55" s="11">
        <v>2017</v>
      </c>
      <c r="I55" s="23">
        <f t="shared" si="8"/>
        <v>0.6000000000000001</v>
      </c>
      <c r="J55" s="23">
        <f t="shared" si="9"/>
        <v>0.6000000000000001</v>
      </c>
      <c r="K55" s="23">
        <f t="shared" si="10"/>
        <v>0.6000000000000001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54" t="s">
        <v>306</v>
      </c>
      <c r="C56" s="11" t="s">
        <v>37</v>
      </c>
      <c r="D56" s="56" t="s">
        <v>48</v>
      </c>
      <c r="E56" s="20">
        <v>2014</v>
      </c>
      <c r="F56" s="21">
        <v>1.4</v>
      </c>
      <c r="G56" s="8">
        <v>2017</v>
      </c>
      <c r="I56" s="23">
        <f t="shared" si="8"/>
        <v>0.45</v>
      </c>
      <c r="J56" s="23">
        <f t="shared" si="9"/>
        <v>0.45</v>
      </c>
      <c r="K56" s="23">
        <f t="shared" si="10"/>
        <v>0.45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4" t="s">
        <v>194</v>
      </c>
      <c r="C57" s="11" t="s">
        <v>18</v>
      </c>
      <c r="D57" s="11" t="s">
        <v>39</v>
      </c>
      <c r="E57" s="20">
        <v>2013</v>
      </c>
      <c r="F57" s="21">
        <v>1.3</v>
      </c>
      <c r="G57" s="8">
        <v>2016</v>
      </c>
      <c r="I57" s="23">
        <f t="shared" si="8"/>
        <v>0.4</v>
      </c>
      <c r="J57" s="23">
        <f t="shared" si="9"/>
        <v>0.4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10" t="s">
        <v>216</v>
      </c>
      <c r="C58" s="11" t="s">
        <v>19</v>
      </c>
      <c r="D58" s="11" t="s">
        <v>36</v>
      </c>
      <c r="E58" s="20">
        <v>2015</v>
      </c>
      <c r="F58" s="21">
        <v>1.3</v>
      </c>
      <c r="G58" s="8">
        <v>2016</v>
      </c>
      <c r="I58" s="23">
        <f t="shared" si="8"/>
        <v>1.3</v>
      </c>
      <c r="J58" s="23">
        <f t="shared" si="9"/>
        <v>0.4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42" t="s">
        <v>168</v>
      </c>
      <c r="C59" s="11" t="s">
        <v>17</v>
      </c>
      <c r="D59" s="11" t="s">
        <v>38</v>
      </c>
      <c r="E59" s="20">
        <v>2014</v>
      </c>
      <c r="F59" s="21">
        <v>16.1</v>
      </c>
      <c r="G59" s="9">
        <v>2015</v>
      </c>
      <c r="I59" s="23">
        <f t="shared" si="8"/>
        <v>4.8500000000000005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54" t="s">
        <v>119</v>
      </c>
      <c r="C60" s="56" t="s">
        <v>17</v>
      </c>
      <c r="D60" s="56" t="s">
        <v>32</v>
      </c>
      <c r="E60" s="20">
        <v>2014</v>
      </c>
      <c r="F60" s="21">
        <v>3.35</v>
      </c>
      <c r="G60" s="8">
        <v>2015</v>
      </c>
      <c r="I60" s="23">
        <f>+CEILING(IF($I$52=E60,F60,IF($I$52&lt;=G60,F60*0.3,0)),0.05)</f>
        <v>1.05</v>
      </c>
      <c r="J60" s="23">
        <f>+CEILING(IF($J$52&lt;=G60,F60*0.3,0),0.05)</f>
        <v>0</v>
      </c>
      <c r="K60" s="23">
        <f>+CEILING(IF($K$52&lt;=G60,F60*0.3,0),0.05)</f>
        <v>0</v>
      </c>
      <c r="L60" s="23">
        <f>+CEILING(IF($L$52&lt;=G60,F60*0.3,0),0.05)</f>
        <v>0</v>
      </c>
      <c r="M60" s="23">
        <f>CEILING(IF($M$52&lt;=G60,F60*0.3,0),0.05)</f>
        <v>0</v>
      </c>
    </row>
    <row r="61" spans="1:13" ht="12.75">
      <c r="A61" s="15">
        <v>8</v>
      </c>
      <c r="B61" s="54" t="s">
        <v>631</v>
      </c>
      <c r="C61" s="56" t="s">
        <v>37</v>
      </c>
      <c r="D61" s="56" t="s">
        <v>29</v>
      </c>
      <c r="E61" s="57">
        <v>2015</v>
      </c>
      <c r="F61" s="21">
        <v>1.7</v>
      </c>
      <c r="G61" s="8">
        <v>2015</v>
      </c>
      <c r="I61" s="23">
        <f>+CEILING(IF($I$52=E61,F61,IF($I$52&lt;=G61,F61*0.3,0)),0.05)</f>
        <v>1.7000000000000002</v>
      </c>
      <c r="J61" s="23">
        <f>+CEILING(IF($J$52&lt;=G61,F61*0.3,0),0.05)</f>
        <v>0</v>
      </c>
      <c r="K61" s="23">
        <f>+CEILING(IF($K$52&lt;=G61,F61*0.3,0),0.05)</f>
        <v>0</v>
      </c>
      <c r="L61" s="23">
        <f>+CEILING(IF($L$52&lt;=G61,F61*0.3,0),0.05)</f>
        <v>0</v>
      </c>
      <c r="M61" s="23">
        <f>CEILING(IF($M$52&lt;=G61,F61*0.3,0),0.05)</f>
        <v>0</v>
      </c>
    </row>
    <row r="62" spans="1:13" ht="12.75">
      <c r="A62" s="15">
        <v>9</v>
      </c>
      <c r="B62" s="44" t="s">
        <v>153</v>
      </c>
      <c r="C62" s="11" t="s">
        <v>19</v>
      </c>
      <c r="D62" s="11" t="s">
        <v>27</v>
      </c>
      <c r="E62" s="20">
        <v>2012</v>
      </c>
      <c r="F62" s="25">
        <v>1.2</v>
      </c>
      <c r="G62" s="11">
        <v>2015</v>
      </c>
      <c r="I62" s="23">
        <f>+CEILING(IF($I$52=E62,F62,IF($I$52&lt;=G62,F62*0.3,0)),0.05)</f>
        <v>0.4</v>
      </c>
      <c r="J62" s="23">
        <f>+CEILING(IF($J$52&lt;=G62,F62*0.3,0),0.05)</f>
        <v>0</v>
      </c>
      <c r="K62" s="23">
        <f>+CEILING(IF($K$52&lt;=G62,F62*0.3,0),0.05)</f>
        <v>0</v>
      </c>
      <c r="L62" s="23">
        <f>+CEILING(IF($L$52&lt;=G62,F62*0.3,0),0.05)</f>
        <v>0</v>
      </c>
      <c r="M62" s="23">
        <f>CEILING(IF($M$52&lt;=G62,F62*0.3,0),0.05)</f>
        <v>0</v>
      </c>
    </row>
    <row r="63" spans="1:13" ht="12.75">
      <c r="A63" s="15">
        <v>10</v>
      </c>
      <c r="B63" s="22"/>
      <c r="D63" s="11"/>
      <c r="E63" s="20"/>
      <c r="F63" s="21"/>
      <c r="G63" s="8"/>
      <c r="I63" s="23">
        <f>+CEILING(IF($I$52=E63,F63,IF($I$52&lt;=G63,F63*0.3,0)),0.05)</f>
        <v>0</v>
      </c>
      <c r="J63" s="23">
        <f>+CEILING(IF($J$52&lt;=G63,F63*0.3,0),0.05)</f>
        <v>0</v>
      </c>
      <c r="K63" s="23">
        <f>+CEILING(IF($K$52&lt;=G63,F63*0.3,0),0.05)</f>
        <v>0</v>
      </c>
      <c r="L63" s="23">
        <f>+CEILING(IF($L$52&lt;=G63,F63*0.3,0),0.05)</f>
        <v>0</v>
      </c>
      <c r="M63" s="23">
        <f>CEILING(IF($M$52&lt;=G63,F63*0.3,0),0.05)</f>
        <v>0</v>
      </c>
    </row>
    <row r="64" spans="9:13" ht="7.5" customHeight="1">
      <c r="I64" s="22"/>
      <c r="J64" s="22"/>
      <c r="K64" s="22"/>
      <c r="L64" s="22"/>
      <c r="M64" s="22"/>
    </row>
    <row r="65" spans="9:13" ht="12.75">
      <c r="I65" s="24">
        <f>+SUM(I54:I64)</f>
        <v>15.15</v>
      </c>
      <c r="J65" s="24">
        <f>+SUM(J54:J64)</f>
        <v>3.2</v>
      </c>
      <c r="K65" s="24">
        <f>+SUM(K54:K64)</f>
        <v>2.4000000000000004</v>
      </c>
      <c r="L65" s="24">
        <f>+SUM(L54:L64)</f>
        <v>0</v>
      </c>
      <c r="M65" s="24">
        <f>+SUM(M54:M64)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42" t="s">
        <v>422</v>
      </c>
      <c r="C5" s="11" t="s">
        <v>17</v>
      </c>
      <c r="D5" s="11" t="s">
        <v>16</v>
      </c>
      <c r="E5" s="20" t="s">
        <v>437</v>
      </c>
      <c r="F5" s="16">
        <v>17.45</v>
      </c>
      <c r="G5" s="8">
        <v>2018</v>
      </c>
      <c r="I5" s="23">
        <f aca="true" t="shared" si="0" ref="I5:M14">+IF($G5&gt;=I$3,$F5,0)</f>
        <v>17.45</v>
      </c>
      <c r="J5" s="23">
        <f t="shared" si="0"/>
        <v>17.45</v>
      </c>
      <c r="K5" s="23">
        <f t="shared" si="0"/>
        <v>17.45</v>
      </c>
      <c r="L5" s="23">
        <f t="shared" si="0"/>
        <v>17.45</v>
      </c>
      <c r="M5" s="23">
        <f t="shared" si="0"/>
        <v>0</v>
      </c>
    </row>
    <row r="6" spans="1:13" ht="12.75">
      <c r="A6" s="15">
        <v>2</v>
      </c>
      <c r="B6" s="54" t="s">
        <v>417</v>
      </c>
      <c r="C6" s="20" t="s">
        <v>17</v>
      </c>
      <c r="D6" s="20" t="s">
        <v>24</v>
      </c>
      <c r="E6" s="20" t="s">
        <v>437</v>
      </c>
      <c r="F6" s="21">
        <v>11.35</v>
      </c>
      <c r="G6" s="8">
        <v>2018</v>
      </c>
      <c r="I6" s="23">
        <f t="shared" si="0"/>
        <v>11.35</v>
      </c>
      <c r="J6" s="23">
        <f t="shared" si="0"/>
        <v>11.35</v>
      </c>
      <c r="K6" s="23">
        <f t="shared" si="0"/>
        <v>11.35</v>
      </c>
      <c r="L6" s="23">
        <f t="shared" si="0"/>
        <v>11.35</v>
      </c>
      <c r="M6" s="23">
        <f t="shared" si="0"/>
        <v>0</v>
      </c>
    </row>
    <row r="7" spans="1:13" ht="12.75">
      <c r="A7" s="15">
        <v>3</v>
      </c>
      <c r="B7" s="10" t="s">
        <v>415</v>
      </c>
      <c r="C7" s="11" t="s">
        <v>17</v>
      </c>
      <c r="D7" s="11" t="s">
        <v>23</v>
      </c>
      <c r="E7" s="20" t="s">
        <v>437</v>
      </c>
      <c r="F7" s="21">
        <v>11</v>
      </c>
      <c r="G7" s="8">
        <v>2018</v>
      </c>
      <c r="I7" s="23">
        <f t="shared" si="0"/>
        <v>11</v>
      </c>
      <c r="J7" s="23">
        <f t="shared" si="0"/>
        <v>11</v>
      </c>
      <c r="K7" s="23">
        <f t="shared" si="0"/>
        <v>11</v>
      </c>
      <c r="L7" s="23">
        <f t="shared" si="0"/>
        <v>11</v>
      </c>
      <c r="M7" s="23">
        <f t="shared" si="0"/>
        <v>0</v>
      </c>
    </row>
    <row r="8" spans="1:13" ht="12.75">
      <c r="A8" s="15">
        <v>4</v>
      </c>
      <c r="B8" s="54" t="s">
        <v>423</v>
      </c>
      <c r="C8" s="11" t="s">
        <v>37</v>
      </c>
      <c r="D8" s="11" t="s">
        <v>51</v>
      </c>
      <c r="E8" s="20" t="s">
        <v>437</v>
      </c>
      <c r="F8" s="21">
        <v>6.85</v>
      </c>
      <c r="G8" s="8">
        <v>2018</v>
      </c>
      <c r="I8" s="23">
        <f t="shared" si="0"/>
        <v>6.85</v>
      </c>
      <c r="J8" s="23">
        <f t="shared" si="0"/>
        <v>6.85</v>
      </c>
      <c r="K8" s="23">
        <f t="shared" si="0"/>
        <v>6.85</v>
      </c>
      <c r="L8" s="23">
        <f t="shared" si="0"/>
        <v>6.85</v>
      </c>
      <c r="M8" s="23">
        <f t="shared" si="0"/>
        <v>0</v>
      </c>
    </row>
    <row r="9" spans="1:13" ht="12.75">
      <c r="A9" s="15">
        <v>5</v>
      </c>
      <c r="B9" s="54" t="s">
        <v>414</v>
      </c>
      <c r="C9" s="20" t="s">
        <v>37</v>
      </c>
      <c r="D9" s="20" t="s">
        <v>48</v>
      </c>
      <c r="E9" s="20" t="s">
        <v>437</v>
      </c>
      <c r="F9" s="21">
        <v>6.5</v>
      </c>
      <c r="G9" s="8">
        <v>2018</v>
      </c>
      <c r="I9" s="23">
        <f t="shared" si="0"/>
        <v>6.5</v>
      </c>
      <c r="J9" s="23">
        <f t="shared" si="0"/>
        <v>6.5</v>
      </c>
      <c r="K9" s="23">
        <f t="shared" si="0"/>
        <v>6.5</v>
      </c>
      <c r="L9" s="23">
        <f t="shared" si="0"/>
        <v>6.5</v>
      </c>
      <c r="M9" s="23">
        <f t="shared" si="0"/>
        <v>0</v>
      </c>
    </row>
    <row r="10" spans="1:13" ht="12.75">
      <c r="A10" s="15">
        <v>6</v>
      </c>
      <c r="B10" s="10" t="s">
        <v>419</v>
      </c>
      <c r="C10" s="11" t="s">
        <v>19</v>
      </c>
      <c r="D10" s="11" t="s">
        <v>85</v>
      </c>
      <c r="E10" s="20" t="s">
        <v>435</v>
      </c>
      <c r="F10" s="25">
        <v>6.25</v>
      </c>
      <c r="G10" s="8">
        <v>2018</v>
      </c>
      <c r="I10" s="23">
        <f t="shared" si="0"/>
        <v>6.25</v>
      </c>
      <c r="J10" s="23">
        <f t="shared" si="0"/>
        <v>6.25</v>
      </c>
      <c r="K10" s="23">
        <f t="shared" si="0"/>
        <v>6.25</v>
      </c>
      <c r="L10" s="23">
        <f t="shared" si="0"/>
        <v>6.25</v>
      </c>
      <c r="M10" s="23">
        <f t="shared" si="0"/>
        <v>0</v>
      </c>
    </row>
    <row r="11" spans="1:13" ht="12.75">
      <c r="A11" s="15">
        <v>7</v>
      </c>
      <c r="B11" s="89" t="s">
        <v>396</v>
      </c>
      <c r="C11" s="11" t="s">
        <v>19</v>
      </c>
      <c r="D11" s="11" t="s">
        <v>88</v>
      </c>
      <c r="E11" s="20" t="s">
        <v>437</v>
      </c>
      <c r="F11" s="21">
        <v>6</v>
      </c>
      <c r="G11" s="8">
        <v>2018</v>
      </c>
      <c r="I11" s="23">
        <f t="shared" si="0"/>
        <v>6</v>
      </c>
      <c r="J11" s="23">
        <f t="shared" si="0"/>
        <v>6</v>
      </c>
      <c r="K11" s="23">
        <f t="shared" si="0"/>
        <v>6</v>
      </c>
      <c r="L11" s="23">
        <f t="shared" si="0"/>
        <v>6</v>
      </c>
      <c r="M11" s="23">
        <f t="shared" si="0"/>
        <v>0</v>
      </c>
    </row>
    <row r="12" spans="1:13" ht="12.75">
      <c r="A12" s="15">
        <v>8</v>
      </c>
      <c r="B12" s="42" t="s">
        <v>418</v>
      </c>
      <c r="C12" s="11" t="s">
        <v>26</v>
      </c>
      <c r="D12" s="11" t="s">
        <v>28</v>
      </c>
      <c r="E12" s="20" t="s">
        <v>437</v>
      </c>
      <c r="F12" s="21">
        <v>4.75</v>
      </c>
      <c r="G12" s="8">
        <v>2018</v>
      </c>
      <c r="I12" s="23">
        <f t="shared" si="0"/>
        <v>4.75</v>
      </c>
      <c r="J12" s="23">
        <f t="shared" si="0"/>
        <v>4.75</v>
      </c>
      <c r="K12" s="23">
        <f t="shared" si="0"/>
        <v>4.75</v>
      </c>
      <c r="L12" s="23">
        <f t="shared" si="0"/>
        <v>4.75</v>
      </c>
      <c r="M12" s="23">
        <f t="shared" si="0"/>
        <v>0</v>
      </c>
    </row>
    <row r="13" spans="1:13" ht="12.75">
      <c r="A13" s="15">
        <v>9</v>
      </c>
      <c r="B13" s="42" t="s">
        <v>421</v>
      </c>
      <c r="C13" s="11" t="s">
        <v>31</v>
      </c>
      <c r="D13" s="11" t="s">
        <v>20</v>
      </c>
      <c r="E13" s="20" t="s">
        <v>437</v>
      </c>
      <c r="F13" s="21">
        <v>1.55</v>
      </c>
      <c r="G13" s="8">
        <v>2018</v>
      </c>
      <c r="I13" s="23">
        <f t="shared" si="0"/>
        <v>1.55</v>
      </c>
      <c r="J13" s="23">
        <f t="shared" si="0"/>
        <v>1.55</v>
      </c>
      <c r="K13" s="23">
        <f t="shared" si="0"/>
        <v>1.55</v>
      </c>
      <c r="L13" s="23">
        <f t="shared" si="0"/>
        <v>1.55</v>
      </c>
      <c r="M13" s="23">
        <f t="shared" si="0"/>
        <v>0</v>
      </c>
    </row>
    <row r="14" spans="1:13" ht="12.75">
      <c r="A14" s="15">
        <v>10</v>
      </c>
      <c r="B14" s="89" t="s">
        <v>534</v>
      </c>
      <c r="C14" s="11" t="s">
        <v>17</v>
      </c>
      <c r="D14" s="56" t="s">
        <v>88</v>
      </c>
      <c r="E14" s="20" t="s">
        <v>441</v>
      </c>
      <c r="F14" s="21">
        <v>9.25</v>
      </c>
      <c r="G14" s="8">
        <v>2017</v>
      </c>
      <c r="I14" s="23">
        <f t="shared" si="0"/>
        <v>9.25</v>
      </c>
      <c r="J14" s="23">
        <f t="shared" si="0"/>
        <v>9.25</v>
      </c>
      <c r="K14" s="23">
        <f t="shared" si="0"/>
        <v>9.25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55" t="s">
        <v>196</v>
      </c>
      <c r="C15" s="11" t="s">
        <v>17</v>
      </c>
      <c r="D15" s="11" t="s">
        <v>22</v>
      </c>
      <c r="E15" s="20" t="s">
        <v>434</v>
      </c>
      <c r="F15" s="21">
        <v>7.5</v>
      </c>
      <c r="G15" s="8">
        <v>2016</v>
      </c>
      <c r="I15" s="23">
        <f aca="true" t="shared" si="1" ref="I15:M24">+IF($G15&gt;=I$3,$F15,0)</f>
        <v>7.5</v>
      </c>
      <c r="J15" s="23">
        <f t="shared" si="1"/>
        <v>7.5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10" t="s">
        <v>188</v>
      </c>
      <c r="C16" s="11" t="s">
        <v>31</v>
      </c>
      <c r="D16" s="11" t="s">
        <v>81</v>
      </c>
      <c r="E16" s="11" t="s">
        <v>47</v>
      </c>
      <c r="F16" s="38">
        <v>6</v>
      </c>
      <c r="G16" s="11">
        <v>2016</v>
      </c>
      <c r="I16" s="23">
        <f t="shared" si="1"/>
        <v>6</v>
      </c>
      <c r="J16" s="23">
        <f t="shared" si="1"/>
        <v>6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10" t="s">
        <v>218</v>
      </c>
      <c r="C17" s="11" t="s">
        <v>17</v>
      </c>
      <c r="D17" s="56" t="s">
        <v>24</v>
      </c>
      <c r="E17" s="11" t="s">
        <v>47</v>
      </c>
      <c r="F17" s="25">
        <v>4.2</v>
      </c>
      <c r="G17" s="11">
        <v>2016</v>
      </c>
      <c r="I17" s="23">
        <f t="shared" si="1"/>
        <v>4.2</v>
      </c>
      <c r="J17" s="23">
        <f t="shared" si="1"/>
        <v>4.2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55" t="s">
        <v>122</v>
      </c>
      <c r="C18" s="56" t="s">
        <v>19</v>
      </c>
      <c r="D18" s="56" t="s">
        <v>52</v>
      </c>
      <c r="E18" s="57" t="s">
        <v>47</v>
      </c>
      <c r="F18" s="33">
        <v>5.8</v>
      </c>
      <c r="G18" s="34">
        <v>2015</v>
      </c>
      <c r="I18" s="23">
        <f t="shared" si="1"/>
        <v>5.8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5" t="s">
        <v>128</v>
      </c>
      <c r="C19" s="11" t="s">
        <v>17</v>
      </c>
      <c r="D19" s="11" t="s">
        <v>21</v>
      </c>
      <c r="E19" s="20" t="s">
        <v>47</v>
      </c>
      <c r="F19" s="21">
        <v>5.15</v>
      </c>
      <c r="G19" s="8">
        <v>2015</v>
      </c>
      <c r="I19" s="23">
        <f t="shared" si="1"/>
        <v>5.15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4" t="s">
        <v>566</v>
      </c>
      <c r="C20" s="56" t="s">
        <v>40</v>
      </c>
      <c r="D20" s="56" t="s">
        <v>25</v>
      </c>
      <c r="E20" s="57" t="s">
        <v>441</v>
      </c>
      <c r="F20" s="21">
        <v>4.75</v>
      </c>
      <c r="G20" s="8">
        <v>2015</v>
      </c>
      <c r="I20" s="23">
        <f t="shared" si="1"/>
        <v>4.75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5" t="s">
        <v>195</v>
      </c>
      <c r="C21" s="11" t="s">
        <v>18</v>
      </c>
      <c r="D21" s="11" t="s">
        <v>32</v>
      </c>
      <c r="E21" s="20" t="s">
        <v>441</v>
      </c>
      <c r="F21" s="21">
        <v>3.5</v>
      </c>
      <c r="G21" s="8">
        <v>2015</v>
      </c>
      <c r="I21" s="23">
        <f t="shared" si="1"/>
        <v>3.5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42" t="s">
        <v>606</v>
      </c>
      <c r="C22" s="11" t="s">
        <v>18</v>
      </c>
      <c r="D22" s="11" t="s">
        <v>46</v>
      </c>
      <c r="E22" s="20" t="s">
        <v>594</v>
      </c>
      <c r="F22" s="21">
        <v>1.7</v>
      </c>
      <c r="G22" s="8">
        <v>2015</v>
      </c>
      <c r="I22" s="23">
        <f t="shared" si="1"/>
        <v>1.7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10" t="s">
        <v>733</v>
      </c>
      <c r="C23" s="11" t="s">
        <v>17</v>
      </c>
      <c r="D23" s="11" t="s">
        <v>21</v>
      </c>
      <c r="E23" s="11" t="s">
        <v>594</v>
      </c>
      <c r="F23" s="25">
        <v>1.7</v>
      </c>
      <c r="G23" s="11">
        <v>2015</v>
      </c>
      <c r="I23" s="23">
        <f t="shared" si="1"/>
        <v>1.7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42" t="s">
        <v>620</v>
      </c>
      <c r="C24" s="11" t="s">
        <v>26</v>
      </c>
      <c r="D24" s="11" t="s">
        <v>22</v>
      </c>
      <c r="E24" s="20" t="s">
        <v>594</v>
      </c>
      <c r="F24" s="21">
        <v>1.7</v>
      </c>
      <c r="G24" s="8">
        <v>2015</v>
      </c>
      <c r="I24" s="23">
        <f t="shared" si="1"/>
        <v>1.7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42" t="s">
        <v>623</v>
      </c>
      <c r="C25" s="56" t="s">
        <v>19</v>
      </c>
      <c r="D25" s="56" t="s">
        <v>48</v>
      </c>
      <c r="E25" s="57" t="s">
        <v>594</v>
      </c>
      <c r="F25" s="33">
        <v>1.7</v>
      </c>
      <c r="G25" s="8">
        <v>2015</v>
      </c>
      <c r="I25" s="23">
        <f aca="true" t="shared" si="2" ref="I25:M32">+IF($G25&gt;=I$3,$F25,0)</f>
        <v>1.7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42" t="s">
        <v>699</v>
      </c>
      <c r="C26" s="11" t="s">
        <v>37</v>
      </c>
      <c r="D26" s="11" t="s">
        <v>33</v>
      </c>
      <c r="E26" s="20" t="s">
        <v>594</v>
      </c>
      <c r="F26" s="21">
        <v>1.7</v>
      </c>
      <c r="G26" s="8">
        <v>2015</v>
      </c>
      <c r="I26" s="23">
        <f t="shared" si="2"/>
        <v>1.7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4" t="s">
        <v>731</v>
      </c>
      <c r="C27" s="11" t="s">
        <v>37</v>
      </c>
      <c r="D27" s="11" t="s">
        <v>16</v>
      </c>
      <c r="E27" s="20" t="s">
        <v>594</v>
      </c>
      <c r="F27" s="21">
        <v>1.7</v>
      </c>
      <c r="G27" s="8">
        <v>2015</v>
      </c>
      <c r="I27" s="23">
        <f t="shared" si="2"/>
        <v>1.7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10" t="s">
        <v>644</v>
      </c>
      <c r="C28" s="11" t="s">
        <v>37</v>
      </c>
      <c r="D28" s="11" t="s">
        <v>81</v>
      </c>
      <c r="E28" s="20" t="s">
        <v>594</v>
      </c>
      <c r="F28" s="25">
        <v>1.7</v>
      </c>
      <c r="G28" s="8">
        <v>2015</v>
      </c>
      <c r="I28" s="23">
        <f t="shared" si="2"/>
        <v>1.7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10" t="s">
        <v>652</v>
      </c>
      <c r="C29" s="11" t="s">
        <v>15</v>
      </c>
      <c r="D29" s="11" t="s">
        <v>88</v>
      </c>
      <c r="E29" s="56" t="s">
        <v>594</v>
      </c>
      <c r="F29" s="25">
        <v>1.7</v>
      </c>
      <c r="G29" s="11">
        <v>2015</v>
      </c>
      <c r="I29" s="23">
        <f t="shared" si="2"/>
        <v>1.7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42" t="s">
        <v>658</v>
      </c>
      <c r="C30" s="56" t="s">
        <v>37</v>
      </c>
      <c r="D30" s="56" t="s">
        <v>22</v>
      </c>
      <c r="E30" s="20" t="s">
        <v>594</v>
      </c>
      <c r="F30" s="33">
        <v>1.7</v>
      </c>
      <c r="G30" s="34">
        <v>2015</v>
      </c>
      <c r="I30" s="23">
        <f t="shared" si="2"/>
        <v>1.7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4" t="s">
        <v>683</v>
      </c>
      <c r="C31" s="56" t="s">
        <v>15</v>
      </c>
      <c r="D31" s="56" t="s">
        <v>22</v>
      </c>
      <c r="E31" s="57" t="s">
        <v>594</v>
      </c>
      <c r="F31" s="21">
        <v>1.7</v>
      </c>
      <c r="G31" s="8">
        <v>2015</v>
      </c>
      <c r="I31" s="23">
        <f t="shared" si="2"/>
        <v>1.7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42" t="s">
        <v>686</v>
      </c>
      <c r="C32" s="11" t="s">
        <v>19</v>
      </c>
      <c r="D32" s="11" t="s">
        <v>85</v>
      </c>
      <c r="E32" s="20" t="s">
        <v>594</v>
      </c>
      <c r="F32" s="21">
        <v>1.7</v>
      </c>
      <c r="G32" s="8">
        <v>2015</v>
      </c>
      <c r="I32" s="23">
        <f t="shared" si="2"/>
        <v>1.7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2:13" ht="12.75">
      <c r="B34" s="22"/>
      <c r="D34" s="11"/>
      <c r="E34" s="20"/>
      <c r="I34" s="24">
        <f>+SUM(I5:I32)</f>
        <v>136.54999999999995</v>
      </c>
      <c r="J34" s="24">
        <f>+SUM(J5:J32)</f>
        <v>98.65</v>
      </c>
      <c r="K34" s="24">
        <f>+SUM(K5:K32)</f>
        <v>80.95</v>
      </c>
      <c r="L34" s="24">
        <f>+SUM(L5:L32)</f>
        <v>71.7</v>
      </c>
      <c r="M34" s="24">
        <f>+SUM(M5:M32)</f>
        <v>0</v>
      </c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2015</v>
      </c>
      <c r="J38" s="14">
        <f>+J$3</f>
        <v>2016</v>
      </c>
      <c r="K38" s="14">
        <f>+K$3</f>
        <v>2017</v>
      </c>
      <c r="L38" s="14">
        <f>+L$3</f>
        <v>2018</v>
      </c>
      <c r="M38" s="14">
        <f>+M$3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42" t="s">
        <v>416</v>
      </c>
      <c r="C40" s="11" t="s">
        <v>17</v>
      </c>
      <c r="D40" s="11" t="s">
        <v>226</v>
      </c>
      <c r="E40" s="20" t="s">
        <v>435</v>
      </c>
      <c r="F40" s="21">
        <v>4.75</v>
      </c>
      <c r="G40" s="8">
        <v>2018</v>
      </c>
      <c r="I40" s="23">
        <f aca="true" t="shared" si="3" ref="I40:I45">+CEILING(IF($I$38&lt;=G40,F40*0.3,0),0.05)</f>
        <v>1.4500000000000002</v>
      </c>
      <c r="J40" s="23">
        <f aca="true" t="shared" si="4" ref="J40:J45">+CEILING(IF($J$38&lt;=G40,F40*0.3,0),0.05)</f>
        <v>1.4500000000000002</v>
      </c>
      <c r="K40" s="23">
        <f aca="true" t="shared" si="5" ref="K40:K45">+CEILING(IF($K$38&lt;=G40,F40*0.3,0),0.05)</f>
        <v>1.4500000000000002</v>
      </c>
      <c r="L40" s="23">
        <f aca="true" t="shared" si="6" ref="L40:L45">+CEILING(IF($L$38&lt;=G40,F40*0.3,0),0.05)</f>
        <v>1.4500000000000002</v>
      </c>
      <c r="M40" s="23">
        <f aca="true" t="shared" si="7" ref="M40:M45">+CEILING(IF($M$38&lt;=G40,F40*0.3,0),0.05)</f>
        <v>0</v>
      </c>
    </row>
    <row r="41" spans="1:13" ht="12.75">
      <c r="A41" s="15">
        <v>2</v>
      </c>
      <c r="B41" s="42" t="s">
        <v>420</v>
      </c>
      <c r="C41" s="56" t="s">
        <v>26</v>
      </c>
      <c r="D41" s="56" t="s">
        <v>85</v>
      </c>
      <c r="E41" s="20" t="s">
        <v>435</v>
      </c>
      <c r="F41" s="33">
        <v>6.25</v>
      </c>
      <c r="G41" s="8">
        <v>2018</v>
      </c>
      <c r="I41" s="23">
        <f t="shared" si="3"/>
        <v>1.9000000000000001</v>
      </c>
      <c r="J41" s="23">
        <f t="shared" si="4"/>
        <v>1.9000000000000001</v>
      </c>
      <c r="K41" s="23">
        <f t="shared" si="5"/>
        <v>1.9000000000000001</v>
      </c>
      <c r="L41" s="23">
        <f t="shared" si="6"/>
        <v>1.9000000000000001</v>
      </c>
      <c r="M41" s="23">
        <f t="shared" si="7"/>
        <v>0</v>
      </c>
    </row>
    <row r="42" spans="1:13" ht="12.75">
      <c r="A42" s="15">
        <v>3</v>
      </c>
      <c r="B42" s="10" t="s">
        <v>132</v>
      </c>
      <c r="C42" s="11" t="s">
        <v>37</v>
      </c>
      <c r="D42" s="11" t="s">
        <v>23</v>
      </c>
      <c r="E42" s="20" t="s">
        <v>47</v>
      </c>
      <c r="F42" s="21">
        <v>4.3</v>
      </c>
      <c r="G42" s="8">
        <v>2015</v>
      </c>
      <c r="I42" s="23">
        <f t="shared" si="3"/>
        <v>1.3</v>
      </c>
      <c r="J42" s="23">
        <f t="shared" si="4"/>
        <v>0</v>
      </c>
      <c r="K42" s="23">
        <f t="shared" si="5"/>
        <v>0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B43" s="55" t="s">
        <v>151</v>
      </c>
      <c r="C43" s="11" t="s">
        <v>37</v>
      </c>
      <c r="D43" s="11" t="s">
        <v>438</v>
      </c>
      <c r="E43" s="20" t="s">
        <v>47</v>
      </c>
      <c r="F43" s="21">
        <v>1.6</v>
      </c>
      <c r="G43" s="8">
        <v>2015</v>
      </c>
      <c r="I43" s="23">
        <f t="shared" si="3"/>
        <v>0.5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55"/>
      <c r="D44" s="11"/>
      <c r="E44" s="20"/>
      <c r="F44" s="21"/>
      <c r="G44" s="8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30"/>
      <c r="D45" s="11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76</v>
      </c>
      <c r="B46" s="55"/>
      <c r="C46" s="31"/>
      <c r="D46" s="31"/>
      <c r="E46" s="31"/>
      <c r="F46" s="21"/>
      <c r="G46" s="9"/>
      <c r="I46" s="23">
        <f>+CEILING(IF($I$38&lt;=G46,F46*0.3,0),0.05)</f>
        <v>0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5.15</v>
      </c>
      <c r="J48" s="19">
        <f>+SUM(J40:J47)</f>
        <v>3.3500000000000005</v>
      </c>
      <c r="K48" s="19">
        <f>+SUM(K40:K47)</f>
        <v>3.3500000000000005</v>
      </c>
      <c r="L48" s="19">
        <f>+SUM(L40:L47)</f>
        <v>3.3500000000000005</v>
      </c>
      <c r="M48" s="19">
        <f>+SUM(M40:M47)</f>
        <v>0</v>
      </c>
    </row>
    <row r="50" spans="1:13" ht="15.75">
      <c r="A50" s="140" t="s">
        <v>49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2015</v>
      </c>
      <c r="J52" s="14">
        <f>+J$3</f>
        <v>2016</v>
      </c>
      <c r="K52" s="14">
        <f>+K$3</f>
        <v>2017</v>
      </c>
      <c r="L52" s="14">
        <f>+L$3</f>
        <v>2018</v>
      </c>
      <c r="M52" s="14">
        <f>+M$3</f>
        <v>2019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54" t="s">
        <v>150</v>
      </c>
      <c r="C54" s="11" t="s">
        <v>18</v>
      </c>
      <c r="D54" s="11" t="s">
        <v>43</v>
      </c>
      <c r="E54" s="20">
        <v>2011</v>
      </c>
      <c r="F54" s="21">
        <v>1.2</v>
      </c>
      <c r="G54" s="8">
        <v>2015</v>
      </c>
      <c r="I54" s="23">
        <f aca="true" t="shared" si="8" ref="I54:I65">+CEILING(IF($I$52=E54,F54,IF($I$52&lt;=G54,F54*0.3,0)),0.05)</f>
        <v>0.4</v>
      </c>
      <c r="J54" s="23">
        <f aca="true" t="shared" si="9" ref="J54:J65">+CEILING(IF($J$52&lt;=G54,F54*0.3,0),0.05)</f>
        <v>0</v>
      </c>
      <c r="K54" s="23">
        <f aca="true" t="shared" si="10" ref="K54:K65">+CEILING(IF($K$52&lt;=G54,F54*0.3,0),0.05)</f>
        <v>0</v>
      </c>
      <c r="L54" s="23">
        <f aca="true" t="shared" si="11" ref="L54:L65">+CEILING(IF($L$52&lt;=G54,F54*0.3,0),0.05)</f>
        <v>0</v>
      </c>
      <c r="M54" s="23">
        <f aca="true" t="shared" si="12" ref="M54:M65">CEILING(IF($M$52&lt;=G54,F54*0.3,0),0.05)</f>
        <v>0</v>
      </c>
    </row>
    <row r="55" spans="1:13" ht="12.75">
      <c r="A55" s="15">
        <v>2</v>
      </c>
      <c r="B55" s="54" t="s">
        <v>659</v>
      </c>
      <c r="C55" s="56" t="s">
        <v>19</v>
      </c>
      <c r="D55" s="56" t="s">
        <v>46</v>
      </c>
      <c r="E55" s="57">
        <v>2015</v>
      </c>
      <c r="F55" s="21">
        <v>1.7</v>
      </c>
      <c r="G55" s="8">
        <v>2015</v>
      </c>
      <c r="I55" s="23">
        <f t="shared" si="8"/>
        <v>1.7000000000000002</v>
      </c>
      <c r="J55" s="23">
        <f t="shared" si="9"/>
        <v>0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10" t="s">
        <v>730</v>
      </c>
      <c r="C56" s="11" t="s">
        <v>18</v>
      </c>
      <c r="D56" s="11" t="s">
        <v>38</v>
      </c>
      <c r="E56" s="11">
        <v>2015</v>
      </c>
      <c r="F56" s="16">
        <v>1.7</v>
      </c>
      <c r="G56" s="17">
        <v>2015</v>
      </c>
      <c r="I56" s="23">
        <f t="shared" si="8"/>
        <v>1.7000000000000002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42" t="s">
        <v>625</v>
      </c>
      <c r="C57" s="11" t="s">
        <v>37</v>
      </c>
      <c r="D57" s="11" t="s">
        <v>33</v>
      </c>
      <c r="E57" s="20">
        <v>2015</v>
      </c>
      <c r="F57" s="21">
        <v>1.7</v>
      </c>
      <c r="G57" s="8">
        <v>2015</v>
      </c>
      <c r="I57" s="23">
        <f t="shared" si="8"/>
        <v>1.7000000000000002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54" t="s">
        <v>152</v>
      </c>
      <c r="C58" s="11" t="s">
        <v>19</v>
      </c>
      <c r="D58" s="11" t="s">
        <v>43</v>
      </c>
      <c r="E58" s="20">
        <v>2015</v>
      </c>
      <c r="F58" s="21">
        <v>1.3</v>
      </c>
      <c r="G58" s="8">
        <v>2015</v>
      </c>
      <c r="I58" s="23">
        <f t="shared" si="8"/>
        <v>1.3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10" t="s">
        <v>617</v>
      </c>
      <c r="C59" s="11" t="s">
        <v>40</v>
      </c>
      <c r="D59" s="11" t="s">
        <v>438</v>
      </c>
      <c r="E59" s="11">
        <v>2015</v>
      </c>
      <c r="F59" s="25">
        <v>1.7</v>
      </c>
      <c r="G59" s="11">
        <v>2015</v>
      </c>
      <c r="I59" s="23">
        <f t="shared" si="8"/>
        <v>1.7000000000000002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30"/>
      <c r="D60" s="11"/>
      <c r="E60" s="20"/>
      <c r="F60" s="21"/>
      <c r="G60" s="8"/>
      <c r="I60" s="23">
        <f t="shared" si="8"/>
        <v>0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22"/>
      <c r="D61" s="11"/>
      <c r="E61" s="20"/>
      <c r="F61" s="21"/>
      <c r="G61" s="8"/>
      <c r="I61" s="23">
        <f t="shared" si="8"/>
        <v>0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D62" s="11"/>
      <c r="E62" s="20"/>
      <c r="F62" s="21"/>
      <c r="G62" s="8"/>
      <c r="I62" s="23">
        <f t="shared" si="8"/>
        <v>0</v>
      </c>
      <c r="J62" s="23">
        <f t="shared" si="9"/>
        <v>0</v>
      </c>
      <c r="K62" s="23">
        <f t="shared" si="10"/>
        <v>0</v>
      </c>
      <c r="L62" s="23">
        <f t="shared" si="11"/>
        <v>0</v>
      </c>
      <c r="M62" s="23">
        <f t="shared" si="12"/>
        <v>0</v>
      </c>
    </row>
    <row r="63" spans="1:13" ht="12.75">
      <c r="A63" s="15">
        <v>10</v>
      </c>
      <c r="D63" s="11"/>
      <c r="E63" s="20"/>
      <c r="F63" s="21"/>
      <c r="G63" s="8"/>
      <c r="I63" s="23">
        <f>+CEILING(IF($I$52=E63,F63,IF($I$52&lt;=G63,F63*0.3,0)),0.05)</f>
        <v>0</v>
      </c>
      <c r="J63" s="23">
        <f>+CEILING(IF($J$52&lt;=G63,F63*0.3,0),0.05)</f>
        <v>0</v>
      </c>
      <c r="K63" s="23">
        <f>+CEILING(IF($K$52&lt;=G63,F63*0.3,0),0.05)</f>
        <v>0</v>
      </c>
      <c r="L63" s="23">
        <f>+CEILING(IF($L$52&lt;=G63,F63*0.3,0),0.05)</f>
        <v>0</v>
      </c>
      <c r="M63" s="23">
        <f>CEILING(IF($M$52&lt;=G63,F63*0.3,0),0.05)</f>
        <v>0</v>
      </c>
    </row>
    <row r="64" spans="1:13" ht="12.75">
      <c r="A64" s="15">
        <v>11</v>
      </c>
      <c r="B64" s="35"/>
      <c r="D64" s="11"/>
      <c r="E64" s="20"/>
      <c r="F64" s="21"/>
      <c r="G64" s="8"/>
      <c r="I64" s="23">
        <f>+CEILING(IF($I$52=E64,F64,IF($I$52&lt;=G64,F64*0.3,0)),0.05)</f>
        <v>0</v>
      </c>
      <c r="J64" s="23">
        <f>+CEILING(IF($J$52&lt;=G64,F64*0.3,0),0.05)</f>
        <v>0</v>
      </c>
      <c r="K64" s="23">
        <f>+CEILING(IF($K$52&lt;=G64,F64*0.3,0),0.05)</f>
        <v>0</v>
      </c>
      <c r="L64" s="23">
        <f>+CEILING(IF($L$52&lt;=G64,F64*0.3,0),0.05)</f>
        <v>0</v>
      </c>
      <c r="M64" s="23">
        <f>CEILING(IF($M$52&lt;=G64,F64*0.3,0),0.05)</f>
        <v>0</v>
      </c>
    </row>
    <row r="65" spans="1:13" ht="12.75">
      <c r="A65" s="15">
        <v>12</v>
      </c>
      <c r="B65" s="30"/>
      <c r="D65" s="11"/>
      <c r="E65" s="20"/>
      <c r="F65" s="21"/>
      <c r="G65" s="8"/>
      <c r="I65" s="23">
        <f t="shared" si="8"/>
        <v>0</v>
      </c>
      <c r="J65" s="23">
        <f t="shared" si="9"/>
        <v>0</v>
      </c>
      <c r="K65" s="23">
        <f t="shared" si="10"/>
        <v>0</v>
      </c>
      <c r="L65" s="23">
        <f t="shared" si="11"/>
        <v>0</v>
      </c>
      <c r="M65" s="23">
        <f t="shared" si="12"/>
        <v>0</v>
      </c>
    </row>
    <row r="66" spans="9:13" ht="7.5" customHeight="1">
      <c r="I66" s="22"/>
      <c r="J66" s="22"/>
      <c r="K66" s="22"/>
      <c r="L66" s="22"/>
      <c r="M66" s="22"/>
    </row>
    <row r="67" spans="9:13" ht="12.75">
      <c r="I67" s="24">
        <f>+SUM(I54:I66)</f>
        <v>8.5</v>
      </c>
      <c r="J67" s="24">
        <f>+SUM(J54:J66)</f>
        <v>0</v>
      </c>
      <c r="K67" s="24">
        <f>+SUM(K54:K66)</f>
        <v>0</v>
      </c>
      <c r="L67" s="24">
        <f>+SUM(L54:L66)</f>
        <v>0</v>
      </c>
      <c r="M67" s="24">
        <f>+SUM(M54:M66)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Light,Bold"&amp;14Adam Morris&amp;R&amp;"Copperplate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13" ht="7.5" customHeight="1">
      <c r="B4" s="12"/>
      <c r="C4" s="14"/>
      <c r="E4" s="14"/>
      <c r="F4" s="14"/>
      <c r="I4" s="25"/>
      <c r="J4" s="25"/>
      <c r="K4" s="25"/>
      <c r="L4" s="25"/>
      <c r="M4" s="25"/>
    </row>
    <row r="5" spans="1:13" ht="12.75">
      <c r="A5" s="15">
        <v>1</v>
      </c>
      <c r="B5" s="35" t="s">
        <v>447</v>
      </c>
      <c r="C5" s="11" t="s">
        <v>17</v>
      </c>
      <c r="D5" s="56" t="s">
        <v>20</v>
      </c>
      <c r="E5" s="20" t="s">
        <v>441</v>
      </c>
      <c r="F5" s="21">
        <v>18</v>
      </c>
      <c r="G5" s="8">
        <v>2019</v>
      </c>
      <c r="I5" s="23">
        <f aca="true" t="shared" si="0" ref="I5:M14">+IF($G5&gt;=I$3,$F5,0)</f>
        <v>18</v>
      </c>
      <c r="J5" s="23">
        <f t="shared" si="0"/>
        <v>18</v>
      </c>
      <c r="K5" s="23">
        <f t="shared" si="0"/>
        <v>18</v>
      </c>
      <c r="L5" s="23">
        <f t="shared" si="0"/>
        <v>18</v>
      </c>
      <c r="M5" s="23">
        <f t="shared" si="0"/>
        <v>18</v>
      </c>
    </row>
    <row r="6" spans="1:13" ht="12.75">
      <c r="A6" s="15">
        <v>2</v>
      </c>
      <c r="B6" s="35" t="s">
        <v>561</v>
      </c>
      <c r="C6" s="56" t="s">
        <v>17</v>
      </c>
      <c r="D6" s="56" t="s">
        <v>51</v>
      </c>
      <c r="E6" s="57" t="s">
        <v>441</v>
      </c>
      <c r="F6" s="21">
        <v>6.25</v>
      </c>
      <c r="G6" s="8">
        <v>2019</v>
      </c>
      <c r="I6" s="23">
        <f t="shared" si="0"/>
        <v>6.25</v>
      </c>
      <c r="J6" s="23">
        <f t="shared" si="0"/>
        <v>6.25</v>
      </c>
      <c r="K6" s="23">
        <f t="shared" si="0"/>
        <v>6.25</v>
      </c>
      <c r="L6" s="23">
        <f t="shared" si="0"/>
        <v>6.25</v>
      </c>
      <c r="M6" s="23">
        <f t="shared" si="0"/>
        <v>6.25</v>
      </c>
    </row>
    <row r="7" spans="1:13" ht="12.75">
      <c r="A7" s="15">
        <v>3</v>
      </c>
      <c r="B7" s="35" t="s">
        <v>528</v>
      </c>
      <c r="C7" s="56" t="s">
        <v>40</v>
      </c>
      <c r="D7" s="56" t="s">
        <v>32</v>
      </c>
      <c r="E7" s="20" t="s">
        <v>441</v>
      </c>
      <c r="F7" s="21">
        <v>1.7</v>
      </c>
      <c r="G7" s="8">
        <v>2019</v>
      </c>
      <c r="I7" s="23">
        <f t="shared" si="0"/>
        <v>1.7</v>
      </c>
      <c r="J7" s="23">
        <f t="shared" si="0"/>
        <v>1.7</v>
      </c>
      <c r="K7" s="23">
        <f t="shared" si="0"/>
        <v>1.7</v>
      </c>
      <c r="L7" s="23">
        <f t="shared" si="0"/>
        <v>1.7</v>
      </c>
      <c r="M7" s="23">
        <f t="shared" si="0"/>
        <v>1.7</v>
      </c>
    </row>
    <row r="8" spans="1:13" ht="12.75">
      <c r="A8" s="15">
        <v>4</v>
      </c>
      <c r="B8" s="55" t="s">
        <v>374</v>
      </c>
      <c r="C8" s="11" t="s">
        <v>17</v>
      </c>
      <c r="D8" s="11" t="s">
        <v>85</v>
      </c>
      <c r="E8" s="57" t="s">
        <v>437</v>
      </c>
      <c r="F8" s="21">
        <v>17.85</v>
      </c>
      <c r="G8" s="8">
        <v>2018</v>
      </c>
      <c r="I8" s="23">
        <f t="shared" si="0"/>
        <v>17.85</v>
      </c>
      <c r="J8" s="23">
        <f t="shared" si="0"/>
        <v>17.85</v>
      </c>
      <c r="K8" s="23">
        <f t="shared" si="0"/>
        <v>17.85</v>
      </c>
      <c r="L8" s="23">
        <f t="shared" si="0"/>
        <v>17.85</v>
      </c>
      <c r="M8" s="23">
        <f t="shared" si="0"/>
        <v>0</v>
      </c>
    </row>
    <row r="9" spans="1:13" ht="12.75">
      <c r="A9" s="15">
        <v>5</v>
      </c>
      <c r="B9" s="35" t="s">
        <v>233</v>
      </c>
      <c r="C9" s="11" t="s">
        <v>19</v>
      </c>
      <c r="D9" s="11" t="s">
        <v>51</v>
      </c>
      <c r="E9" s="20" t="s">
        <v>47</v>
      </c>
      <c r="F9" s="21">
        <v>14.05</v>
      </c>
      <c r="G9" s="8">
        <v>2017</v>
      </c>
      <c r="I9" s="23">
        <f t="shared" si="0"/>
        <v>14.05</v>
      </c>
      <c r="J9" s="23">
        <f t="shared" si="0"/>
        <v>14.05</v>
      </c>
      <c r="K9" s="23">
        <f t="shared" si="0"/>
        <v>14.05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35" t="s">
        <v>232</v>
      </c>
      <c r="C10" s="56" t="s">
        <v>18</v>
      </c>
      <c r="D10" s="56" t="s">
        <v>36</v>
      </c>
      <c r="E10" s="20" t="s">
        <v>47</v>
      </c>
      <c r="F10" s="21">
        <v>13.15</v>
      </c>
      <c r="G10" s="8">
        <v>2017</v>
      </c>
      <c r="I10" s="23">
        <f t="shared" si="0"/>
        <v>13.15</v>
      </c>
      <c r="J10" s="23">
        <f t="shared" si="0"/>
        <v>13.15</v>
      </c>
      <c r="K10" s="23">
        <f t="shared" si="0"/>
        <v>13.15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35" t="s">
        <v>286</v>
      </c>
      <c r="C11" s="11" t="s">
        <v>19</v>
      </c>
      <c r="D11" s="11" t="s">
        <v>43</v>
      </c>
      <c r="E11" s="20" t="s">
        <v>47</v>
      </c>
      <c r="F11" s="21">
        <v>12.1</v>
      </c>
      <c r="G11" s="8">
        <v>2017</v>
      </c>
      <c r="I11" s="23">
        <f t="shared" si="0"/>
        <v>12.1</v>
      </c>
      <c r="J11" s="23">
        <f t="shared" si="0"/>
        <v>12.1</v>
      </c>
      <c r="K11" s="23">
        <f t="shared" si="0"/>
        <v>12.1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35" t="s">
        <v>280</v>
      </c>
      <c r="C12" s="11" t="s">
        <v>17</v>
      </c>
      <c r="D12" s="11" t="s">
        <v>44</v>
      </c>
      <c r="E12" s="20" t="s">
        <v>47</v>
      </c>
      <c r="F12" s="21">
        <v>9.25</v>
      </c>
      <c r="G12" s="8">
        <v>2017</v>
      </c>
      <c r="I12" s="23">
        <f t="shared" si="0"/>
        <v>9.25</v>
      </c>
      <c r="J12" s="23">
        <f t="shared" si="0"/>
        <v>9.25</v>
      </c>
      <c r="K12" s="23">
        <f t="shared" si="0"/>
        <v>9.25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35" t="s">
        <v>547</v>
      </c>
      <c r="C13" s="11" t="s">
        <v>15</v>
      </c>
      <c r="D13" s="56" t="s">
        <v>81</v>
      </c>
      <c r="E13" s="20" t="s">
        <v>441</v>
      </c>
      <c r="F13" s="21">
        <v>6.5</v>
      </c>
      <c r="G13" s="8">
        <v>2017</v>
      </c>
      <c r="I13" s="23">
        <f t="shared" si="0"/>
        <v>6.5</v>
      </c>
      <c r="J13" s="23">
        <f t="shared" si="0"/>
        <v>6.5</v>
      </c>
      <c r="K13" s="23">
        <f t="shared" si="0"/>
        <v>6.5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35" t="s">
        <v>531</v>
      </c>
      <c r="C14" s="11" t="s">
        <v>26</v>
      </c>
      <c r="D14" s="11" t="s">
        <v>88</v>
      </c>
      <c r="E14" s="20" t="s">
        <v>441</v>
      </c>
      <c r="F14" s="21">
        <v>5.15</v>
      </c>
      <c r="G14" s="8">
        <v>2017</v>
      </c>
      <c r="I14" s="23">
        <f t="shared" si="0"/>
        <v>5.15</v>
      </c>
      <c r="J14" s="23">
        <f t="shared" si="0"/>
        <v>5.15</v>
      </c>
      <c r="K14" s="23">
        <f t="shared" si="0"/>
        <v>5.15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35" t="s">
        <v>460</v>
      </c>
      <c r="C15" s="11" t="s">
        <v>19</v>
      </c>
      <c r="D15" s="56" t="s">
        <v>20</v>
      </c>
      <c r="E15" s="20" t="s">
        <v>441</v>
      </c>
      <c r="F15" s="21">
        <v>19.2</v>
      </c>
      <c r="G15" s="8">
        <v>2016</v>
      </c>
      <c r="I15" s="23">
        <f aca="true" t="shared" si="1" ref="I15:M24">+IF($G15&gt;=I$3,$F15,0)</f>
        <v>19.2</v>
      </c>
      <c r="J15" s="23">
        <f t="shared" si="1"/>
        <v>19.2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35" t="s">
        <v>508</v>
      </c>
      <c r="C16" s="11" t="s">
        <v>40</v>
      </c>
      <c r="D16" s="11" t="s">
        <v>16</v>
      </c>
      <c r="E16" s="20" t="s">
        <v>441</v>
      </c>
      <c r="F16" s="21">
        <v>15.6</v>
      </c>
      <c r="G16" s="8">
        <v>2016</v>
      </c>
      <c r="I16" s="23">
        <f t="shared" si="1"/>
        <v>15.6</v>
      </c>
      <c r="J16" s="23">
        <f t="shared" si="1"/>
        <v>15.6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35" t="s">
        <v>462</v>
      </c>
      <c r="C17" s="11" t="s">
        <v>26</v>
      </c>
      <c r="D17" s="11" t="s">
        <v>38</v>
      </c>
      <c r="E17" s="20" t="s">
        <v>441</v>
      </c>
      <c r="F17" s="21">
        <v>12.2</v>
      </c>
      <c r="G17" s="8">
        <v>2016</v>
      </c>
      <c r="I17" s="23">
        <f t="shared" si="1"/>
        <v>12.2</v>
      </c>
      <c r="J17" s="23">
        <f t="shared" si="1"/>
        <v>12.2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35" t="s">
        <v>565</v>
      </c>
      <c r="C18" s="56" t="s">
        <v>17</v>
      </c>
      <c r="D18" s="56" t="s">
        <v>35</v>
      </c>
      <c r="E18" s="57" t="s">
        <v>441</v>
      </c>
      <c r="F18" s="21">
        <v>5.05</v>
      </c>
      <c r="G18" s="8">
        <v>2016</v>
      </c>
      <c r="I18" s="23">
        <f t="shared" si="1"/>
        <v>5.05</v>
      </c>
      <c r="J18" s="23">
        <f t="shared" si="1"/>
        <v>5.05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35" t="s">
        <v>520</v>
      </c>
      <c r="C19" s="11" t="s">
        <v>31</v>
      </c>
      <c r="D19" s="56" t="s">
        <v>46</v>
      </c>
      <c r="E19" s="20" t="s">
        <v>441</v>
      </c>
      <c r="F19" s="21">
        <v>1.7</v>
      </c>
      <c r="G19" s="8">
        <v>2016</v>
      </c>
      <c r="I19" s="23">
        <f t="shared" si="1"/>
        <v>1.7</v>
      </c>
      <c r="J19" s="23">
        <f t="shared" si="1"/>
        <v>1.7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35" t="s">
        <v>603</v>
      </c>
      <c r="C20" s="11" t="s">
        <v>37</v>
      </c>
      <c r="D20" s="11" t="s">
        <v>27</v>
      </c>
      <c r="E20" s="20" t="s">
        <v>594</v>
      </c>
      <c r="F20" s="21">
        <v>1.7</v>
      </c>
      <c r="G20" s="8">
        <v>2015</v>
      </c>
      <c r="I20" s="23">
        <f t="shared" si="1"/>
        <v>1.7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35" t="s">
        <v>612</v>
      </c>
      <c r="C21" s="11" t="s">
        <v>37</v>
      </c>
      <c r="D21" s="11" t="s">
        <v>226</v>
      </c>
      <c r="E21" s="20" t="s">
        <v>594</v>
      </c>
      <c r="F21" s="21">
        <v>1.7</v>
      </c>
      <c r="G21" s="8">
        <v>2015</v>
      </c>
      <c r="I21" s="23">
        <f t="shared" si="1"/>
        <v>1.7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35" t="s">
        <v>615</v>
      </c>
      <c r="C22" s="11" t="s">
        <v>37</v>
      </c>
      <c r="D22" s="11" t="s">
        <v>27</v>
      </c>
      <c r="E22" s="20" t="s">
        <v>594</v>
      </c>
      <c r="F22" s="21">
        <v>1.7</v>
      </c>
      <c r="G22" s="8">
        <v>2015</v>
      </c>
      <c r="I22" s="23">
        <f t="shared" si="1"/>
        <v>1.7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35" t="s">
        <v>618</v>
      </c>
      <c r="C23" s="11" t="s">
        <v>37</v>
      </c>
      <c r="D23" s="11" t="s">
        <v>23</v>
      </c>
      <c r="E23" s="20" t="s">
        <v>594</v>
      </c>
      <c r="F23" s="21">
        <v>1.7</v>
      </c>
      <c r="G23" s="8">
        <v>2015</v>
      </c>
      <c r="I23" s="23">
        <f t="shared" si="1"/>
        <v>1.7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35" t="s">
        <v>625</v>
      </c>
      <c r="C24" s="11" t="s">
        <v>37</v>
      </c>
      <c r="D24" s="11" t="s">
        <v>27</v>
      </c>
      <c r="E24" s="20" t="s">
        <v>594</v>
      </c>
      <c r="F24" s="21">
        <v>1.7</v>
      </c>
      <c r="G24" s="8">
        <v>2015</v>
      </c>
      <c r="I24" s="23">
        <f t="shared" si="1"/>
        <v>1.7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35" t="s">
        <v>746</v>
      </c>
      <c r="C25" s="11" t="s">
        <v>17</v>
      </c>
      <c r="D25" s="11" t="s">
        <v>32</v>
      </c>
      <c r="E25" s="20" t="s">
        <v>594</v>
      </c>
      <c r="F25" s="21">
        <v>1.7</v>
      </c>
      <c r="G25" s="8">
        <v>2015</v>
      </c>
      <c r="I25" s="23">
        <f aca="true" t="shared" si="2" ref="I25:M32">+IF($G25&gt;=I$3,$F25,0)</f>
        <v>1.7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35" t="s">
        <v>747</v>
      </c>
      <c r="C26" s="56" t="s">
        <v>17</v>
      </c>
      <c r="D26" s="56" t="s">
        <v>81</v>
      </c>
      <c r="E26" s="57" t="s">
        <v>594</v>
      </c>
      <c r="F26" s="21">
        <v>1.7</v>
      </c>
      <c r="G26" s="8">
        <v>2015</v>
      </c>
      <c r="I26" s="23">
        <f t="shared" si="2"/>
        <v>1.7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35" t="s">
        <v>693</v>
      </c>
      <c r="C27" s="11" t="s">
        <v>17</v>
      </c>
      <c r="D27" s="11" t="s">
        <v>85</v>
      </c>
      <c r="E27" s="20" t="s">
        <v>594</v>
      </c>
      <c r="F27" s="21">
        <v>1.7</v>
      </c>
      <c r="G27" s="8">
        <v>2015</v>
      </c>
      <c r="I27" s="23">
        <f t="shared" si="2"/>
        <v>1.7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35" t="s">
        <v>696</v>
      </c>
      <c r="C28" s="20" t="s">
        <v>37</v>
      </c>
      <c r="D28" s="20" t="s">
        <v>46</v>
      </c>
      <c r="E28" s="20" t="s">
        <v>594</v>
      </c>
      <c r="F28" s="21">
        <v>1.7</v>
      </c>
      <c r="G28" s="8">
        <v>2015</v>
      </c>
      <c r="I28" s="23">
        <f t="shared" si="2"/>
        <v>1.7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35" t="s">
        <v>119</v>
      </c>
      <c r="C29" s="11" t="s">
        <v>17</v>
      </c>
      <c r="D29" s="11" t="s">
        <v>46</v>
      </c>
      <c r="E29" s="20" t="s">
        <v>594</v>
      </c>
      <c r="F29" s="21">
        <v>1.7</v>
      </c>
      <c r="G29" s="8">
        <v>2015</v>
      </c>
      <c r="I29" s="23">
        <f t="shared" si="2"/>
        <v>1.7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35" t="s">
        <v>704</v>
      </c>
      <c r="C30" s="11" t="s">
        <v>40</v>
      </c>
      <c r="D30" s="11" t="s">
        <v>33</v>
      </c>
      <c r="E30" s="20" t="s">
        <v>594</v>
      </c>
      <c r="F30" s="21">
        <v>1.7</v>
      </c>
      <c r="G30" s="8">
        <v>2015</v>
      </c>
      <c r="I30" s="23">
        <f t="shared" si="2"/>
        <v>1.7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35" t="s">
        <v>705</v>
      </c>
      <c r="C31" s="11" t="s">
        <v>19</v>
      </c>
      <c r="D31" s="56" t="s">
        <v>23</v>
      </c>
      <c r="E31" s="20" t="s">
        <v>594</v>
      </c>
      <c r="F31" s="21">
        <v>1.7</v>
      </c>
      <c r="G31" s="8">
        <v>2015</v>
      </c>
      <c r="I31" s="23">
        <f t="shared" si="2"/>
        <v>1.7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35" t="s">
        <v>515</v>
      </c>
      <c r="C32" s="11" t="s">
        <v>17</v>
      </c>
      <c r="D32" s="11" t="s">
        <v>46</v>
      </c>
      <c r="E32" s="20" t="s">
        <v>594</v>
      </c>
      <c r="F32" s="21">
        <v>1.7</v>
      </c>
      <c r="G32" s="9">
        <v>2015</v>
      </c>
      <c r="I32" s="23">
        <f t="shared" si="2"/>
        <v>1.7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9:13" ht="12.75">
      <c r="I34" s="24">
        <f>+SUM(I5:I32)</f>
        <v>179.84999999999985</v>
      </c>
      <c r="J34" s="24">
        <f>+SUM(J5:J32)</f>
        <v>157.75</v>
      </c>
      <c r="K34" s="24">
        <f>+SUM(K5:K32)</f>
        <v>104</v>
      </c>
      <c r="L34" s="24">
        <f>+SUM(L5:L32)</f>
        <v>43.8</v>
      </c>
      <c r="M34" s="24">
        <f>+SUM(M5:M32)</f>
        <v>25.95</v>
      </c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2015</v>
      </c>
      <c r="J38" s="14">
        <f>+J$3</f>
        <v>2016</v>
      </c>
      <c r="K38" s="14">
        <f>+K$3</f>
        <v>2017</v>
      </c>
      <c r="L38" s="14">
        <f>+L$3</f>
        <v>2018</v>
      </c>
      <c r="M38" s="14">
        <f>+M$3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35" t="s">
        <v>590</v>
      </c>
      <c r="C40" s="56" t="s">
        <v>17</v>
      </c>
      <c r="D40" s="56" t="s">
        <v>27</v>
      </c>
      <c r="E40" s="57" t="s">
        <v>441</v>
      </c>
      <c r="F40" s="21">
        <v>1.7</v>
      </c>
      <c r="G40" s="8">
        <v>2019</v>
      </c>
      <c r="I40" s="23">
        <f aca="true" t="shared" si="3" ref="I40:I46">+CEILING(IF($I$38&lt;=G40,F40*0.3,0),0.05)</f>
        <v>0.55</v>
      </c>
      <c r="J40" s="23">
        <f aca="true" t="shared" si="4" ref="J40:J46">+CEILING(IF($J$38&lt;=G40,F40*0.3,0),0.05)</f>
        <v>0.55</v>
      </c>
      <c r="K40" s="23">
        <f aca="true" t="shared" si="5" ref="K40:K46">+CEILING(IF($K$38&lt;=G40,F40*0.3,0),0.05)</f>
        <v>0.55</v>
      </c>
      <c r="L40" s="23">
        <f aca="true" t="shared" si="6" ref="L40:L46">+CEILING(IF($L$38&lt;=G40,F40*0.3,0),0.05)</f>
        <v>0.55</v>
      </c>
      <c r="M40" s="23">
        <f aca="true" t="shared" si="7" ref="M40:M46">+CEILING(IF($M$38&lt;=G40,F40*0.3,0),0.05)</f>
        <v>0.55</v>
      </c>
    </row>
    <row r="41" spans="1:13" ht="12.75">
      <c r="A41" s="15">
        <v>2</v>
      </c>
      <c r="B41" s="22"/>
      <c r="D41" s="11"/>
      <c r="E41" s="20"/>
      <c r="F41" s="23"/>
      <c r="G41" s="20"/>
      <c r="I41" s="23">
        <f t="shared" si="3"/>
        <v>0</v>
      </c>
      <c r="J41" s="23">
        <f t="shared" si="4"/>
        <v>0</v>
      </c>
      <c r="K41" s="23">
        <f t="shared" si="5"/>
        <v>0</v>
      </c>
      <c r="L41" s="23">
        <f t="shared" si="6"/>
        <v>0</v>
      </c>
      <c r="M41" s="23">
        <f t="shared" si="7"/>
        <v>0</v>
      </c>
    </row>
    <row r="42" spans="1:13" ht="12.75">
      <c r="A42" s="15">
        <v>3</v>
      </c>
      <c r="B42" s="53"/>
      <c r="D42" s="56"/>
      <c r="E42" s="20"/>
      <c r="F42" s="21"/>
      <c r="G42" s="8"/>
      <c r="I42" s="23">
        <f t="shared" si="3"/>
        <v>0</v>
      </c>
      <c r="J42" s="23">
        <f t="shared" si="4"/>
        <v>0</v>
      </c>
      <c r="K42" s="23">
        <f t="shared" si="5"/>
        <v>0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B43" s="53"/>
      <c r="D43" s="56"/>
      <c r="E43" s="20"/>
      <c r="F43" s="21"/>
      <c r="G43" s="8"/>
      <c r="I43" s="23">
        <f t="shared" si="3"/>
        <v>0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22"/>
      <c r="D44" s="11"/>
      <c r="E44" s="20"/>
      <c r="F44" s="23"/>
      <c r="G44" s="20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30"/>
      <c r="D45" s="11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76</v>
      </c>
      <c r="B46" s="22"/>
      <c r="C46" s="31"/>
      <c r="D46" s="31"/>
      <c r="E46" s="31"/>
      <c r="F46" s="21"/>
      <c r="G46" s="8"/>
      <c r="I46" s="23">
        <f t="shared" si="3"/>
        <v>0</v>
      </c>
      <c r="J46" s="23">
        <f t="shared" si="4"/>
        <v>0</v>
      </c>
      <c r="K46" s="23">
        <f t="shared" si="5"/>
        <v>0</v>
      </c>
      <c r="L46" s="23">
        <f t="shared" si="6"/>
        <v>0</v>
      </c>
      <c r="M46" s="23">
        <f t="shared" si="7"/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0.55</v>
      </c>
      <c r="J48" s="19">
        <f>+SUM(J40:J47)</f>
        <v>0.55</v>
      </c>
      <c r="K48" s="19">
        <f>+SUM(K40:K47)</f>
        <v>0.55</v>
      </c>
      <c r="L48" s="19">
        <f>+SUM(L40:L47)</f>
        <v>0.55</v>
      </c>
      <c r="M48" s="19">
        <f>+SUM(M40:M47)</f>
        <v>0.55</v>
      </c>
    </row>
    <row r="50" spans="1:13" ht="15.75">
      <c r="A50" s="140" t="s">
        <v>49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2015</v>
      </c>
      <c r="J52" s="14">
        <f>+J$3</f>
        <v>2016</v>
      </c>
      <c r="K52" s="14">
        <f>+K$3</f>
        <v>2017</v>
      </c>
      <c r="L52" s="14">
        <f>+L$3</f>
        <v>2018</v>
      </c>
      <c r="M52" s="14">
        <f>+M$3</f>
        <v>2019</v>
      </c>
    </row>
    <row r="53" spans="2:6" ht="7.5" customHeight="1">
      <c r="B53" s="12"/>
      <c r="C53" s="14"/>
      <c r="E53" s="14"/>
      <c r="F53" s="14"/>
    </row>
    <row r="54" spans="1:14" ht="12.75">
      <c r="A54" s="15">
        <v>1</v>
      </c>
      <c r="B54" s="55" t="s">
        <v>165</v>
      </c>
      <c r="C54" s="11" t="s">
        <v>31</v>
      </c>
      <c r="D54" s="56" t="s">
        <v>48</v>
      </c>
      <c r="E54" s="20">
        <v>2014</v>
      </c>
      <c r="F54" s="21">
        <v>8.35</v>
      </c>
      <c r="G54" s="8">
        <v>2016</v>
      </c>
      <c r="I54" s="23">
        <f aca="true" t="shared" si="8" ref="I54:I63">+CEILING(IF($I$52=E54,F54,IF($I$52&lt;=G54,F54*0.3,0)),0.05)</f>
        <v>2.5500000000000003</v>
      </c>
      <c r="J54" s="23">
        <f aca="true" t="shared" si="9" ref="J54:J63">+CEILING(IF($J$52&lt;=G54,F54*0.3,0),0.05)</f>
        <v>2.5500000000000003</v>
      </c>
      <c r="K54" s="23">
        <f aca="true" t="shared" si="10" ref="K54:K63">+CEILING(IF($K$52&lt;=G54,F54*0.3,0),0.05)</f>
        <v>0</v>
      </c>
      <c r="L54" s="23">
        <f aca="true" t="shared" si="11" ref="L54:L63">+CEILING(IF($L$52&lt;=G54,F54*0.3,0),0.05)</f>
        <v>0</v>
      </c>
      <c r="M54" s="23">
        <f aca="true" t="shared" si="12" ref="M54:M63">CEILING(IF($M$52&lt;=G54,F54*0.3,0),0.05)</f>
        <v>0</v>
      </c>
      <c r="N54" s="25"/>
    </row>
    <row r="55" spans="1:13" ht="12.75">
      <c r="A55" s="15">
        <v>2</v>
      </c>
      <c r="B55" s="35" t="s">
        <v>626</v>
      </c>
      <c r="C55" s="11" t="s">
        <v>37</v>
      </c>
      <c r="D55" s="11" t="s">
        <v>85</v>
      </c>
      <c r="E55" s="20">
        <v>2015</v>
      </c>
      <c r="F55" s="21">
        <v>1.7</v>
      </c>
      <c r="G55" s="8">
        <v>2015</v>
      </c>
      <c r="I55" s="23">
        <f t="shared" si="8"/>
        <v>1.7000000000000002</v>
      </c>
      <c r="J55" s="23">
        <f t="shared" si="9"/>
        <v>0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35" t="s">
        <v>653</v>
      </c>
      <c r="C56" s="11" t="s">
        <v>37</v>
      </c>
      <c r="D56" s="11" t="s">
        <v>39</v>
      </c>
      <c r="E56" s="20">
        <v>2015</v>
      </c>
      <c r="F56" s="21">
        <v>1.7</v>
      </c>
      <c r="G56" s="8">
        <v>2015</v>
      </c>
      <c r="I56" s="23">
        <f t="shared" si="8"/>
        <v>1.7000000000000002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35" t="s">
        <v>684</v>
      </c>
      <c r="C57" s="56" t="s">
        <v>17</v>
      </c>
      <c r="D57" s="56" t="s">
        <v>38</v>
      </c>
      <c r="E57" s="57">
        <v>2015</v>
      </c>
      <c r="F57" s="21">
        <v>1.7</v>
      </c>
      <c r="G57" s="8">
        <v>2015</v>
      </c>
      <c r="I57" s="23">
        <f t="shared" si="8"/>
        <v>1.7000000000000002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55"/>
      <c r="D58" s="11"/>
      <c r="E58" s="20"/>
      <c r="F58" s="21"/>
      <c r="G58" s="8"/>
      <c r="I58" s="23">
        <f t="shared" si="8"/>
        <v>0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30"/>
      <c r="D59" s="11"/>
      <c r="E59" s="20"/>
      <c r="F59" s="21"/>
      <c r="G59" s="8"/>
      <c r="I59" s="23">
        <f t="shared" si="8"/>
        <v>0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30"/>
      <c r="D60" s="11"/>
      <c r="E60" s="20"/>
      <c r="F60" s="21"/>
      <c r="G60" s="9"/>
      <c r="I60" s="23">
        <f t="shared" si="8"/>
        <v>0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30"/>
      <c r="D61" s="11"/>
      <c r="E61" s="20"/>
      <c r="F61" s="21"/>
      <c r="G61" s="8"/>
      <c r="I61" s="23">
        <f t="shared" si="8"/>
        <v>0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30"/>
      <c r="D62" s="11"/>
      <c r="E62" s="20"/>
      <c r="F62" s="21"/>
      <c r="G62" s="8"/>
      <c r="I62" s="23">
        <f t="shared" si="8"/>
        <v>0</v>
      </c>
      <c r="J62" s="23">
        <f t="shared" si="9"/>
        <v>0</v>
      </c>
      <c r="K62" s="23">
        <f t="shared" si="10"/>
        <v>0</v>
      </c>
      <c r="L62" s="23">
        <f t="shared" si="11"/>
        <v>0</v>
      </c>
      <c r="M62" s="23">
        <f t="shared" si="12"/>
        <v>0</v>
      </c>
    </row>
    <row r="63" spans="1:13" ht="12.75">
      <c r="A63" s="15">
        <v>10</v>
      </c>
      <c r="B63" s="30"/>
      <c r="C63" s="20"/>
      <c r="D63" s="20"/>
      <c r="E63" s="20"/>
      <c r="F63" s="21"/>
      <c r="G63" s="8"/>
      <c r="I63" s="23">
        <f t="shared" si="8"/>
        <v>0</v>
      </c>
      <c r="J63" s="23">
        <f t="shared" si="9"/>
        <v>0</v>
      </c>
      <c r="K63" s="23">
        <f t="shared" si="10"/>
        <v>0</v>
      </c>
      <c r="L63" s="23">
        <f t="shared" si="11"/>
        <v>0</v>
      </c>
      <c r="M63" s="23">
        <f t="shared" si="12"/>
        <v>0</v>
      </c>
    </row>
    <row r="64" spans="1:13" ht="12.75">
      <c r="A64" s="15">
        <v>11</v>
      </c>
      <c r="B64" s="30"/>
      <c r="D64" s="11"/>
      <c r="E64" s="20"/>
      <c r="F64" s="21"/>
      <c r="G64" s="8"/>
      <c r="I64" s="23">
        <f>+CEILING(IF($I$52=E64,F64,IF($I$52&lt;=G64,F64*0.3,0)),0.05)</f>
        <v>0</v>
      </c>
      <c r="J64" s="23">
        <f>+CEILING(IF($J$52&lt;=G64,F64*0.3,0),0.05)</f>
        <v>0</v>
      </c>
      <c r="K64" s="23">
        <f>+CEILING(IF($K$52&lt;=G64,F64*0.3,0),0.05)</f>
        <v>0</v>
      </c>
      <c r="L64" s="23">
        <f>+CEILING(IF($L$52&lt;=G64,F64*0.3,0),0.05)</f>
        <v>0</v>
      </c>
      <c r="M64" s="23">
        <f>CEILING(IF($M$52&lt;=G64,F64*0.3,0),0.05)</f>
        <v>0</v>
      </c>
    </row>
    <row r="65" spans="1:13" ht="12.75">
      <c r="A65" s="15">
        <v>12</v>
      </c>
      <c r="B65" s="30"/>
      <c r="D65" s="11"/>
      <c r="E65" s="20"/>
      <c r="F65" s="21"/>
      <c r="G65" s="8"/>
      <c r="I65" s="23">
        <f>+CEILING(IF($I$52=E65,F65,IF($I$52&lt;=G65,F65*0.3,0)),0.05)</f>
        <v>0</v>
      </c>
      <c r="J65" s="23">
        <f>+CEILING(IF($J$52&lt;=G65,F65*0.3,0),0.05)</f>
        <v>0</v>
      </c>
      <c r="K65" s="23">
        <f>+CEILING(IF($K$52&lt;=G65,F65*0.3,0),0.05)</f>
        <v>0</v>
      </c>
      <c r="L65" s="23">
        <f>+CEILING(IF($L$52&lt;=G65,F65*0.3,0),0.05)</f>
        <v>0</v>
      </c>
      <c r="M65" s="23">
        <f>CEILING(IF($M$52&lt;=G65,F65*0.3,0),0.05)</f>
        <v>0</v>
      </c>
    </row>
    <row r="66" spans="9:13" ht="7.5" customHeight="1">
      <c r="I66" s="22"/>
      <c r="J66" s="22"/>
      <c r="K66" s="22"/>
      <c r="L66" s="22"/>
      <c r="M66" s="22"/>
    </row>
    <row r="67" spans="9:13" ht="12.75">
      <c r="I67" s="24">
        <f>+SUM(I54:I66)</f>
        <v>7.65</v>
      </c>
      <c r="J67" s="24">
        <f>+SUM(J54:J66)</f>
        <v>2.5500000000000003</v>
      </c>
      <c r="K67" s="24">
        <f>+SUM(K54:K66)</f>
        <v>0</v>
      </c>
      <c r="L67" s="24">
        <f>+SUM(L54:L66)</f>
        <v>0</v>
      </c>
      <c r="M67" s="24">
        <f>+SUM(M54:M66)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B78" sqref="B78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42" t="s">
        <v>537</v>
      </c>
      <c r="C5" s="11" t="s">
        <v>37</v>
      </c>
      <c r="D5" s="11" t="s">
        <v>439</v>
      </c>
      <c r="E5" s="20" t="s">
        <v>441</v>
      </c>
      <c r="F5" s="21">
        <v>9.2</v>
      </c>
      <c r="G5" s="8">
        <v>2019</v>
      </c>
      <c r="I5" s="23">
        <f aca="true" t="shared" si="0" ref="I5:M14">+IF($G5&gt;=I$3,$F5,0)</f>
        <v>9.2</v>
      </c>
      <c r="J5" s="23">
        <f t="shared" si="0"/>
        <v>9.2</v>
      </c>
      <c r="K5" s="23">
        <f t="shared" si="0"/>
        <v>9.2</v>
      </c>
      <c r="L5" s="23">
        <f t="shared" si="0"/>
        <v>9.2</v>
      </c>
      <c r="M5" s="23">
        <f t="shared" si="0"/>
        <v>9.2</v>
      </c>
    </row>
    <row r="6" spans="1:13" ht="12.75">
      <c r="A6" s="15">
        <v>2</v>
      </c>
      <c r="B6" s="54" t="s">
        <v>558</v>
      </c>
      <c r="C6" s="56" t="s">
        <v>19</v>
      </c>
      <c r="D6" s="56" t="s">
        <v>52</v>
      </c>
      <c r="E6" s="57" t="s">
        <v>441</v>
      </c>
      <c r="F6" s="21">
        <v>1.7</v>
      </c>
      <c r="G6" s="8">
        <v>2019</v>
      </c>
      <c r="I6" s="23">
        <f t="shared" si="0"/>
        <v>1.7</v>
      </c>
      <c r="J6" s="23">
        <f t="shared" si="0"/>
        <v>1.7</v>
      </c>
      <c r="K6" s="23">
        <f t="shared" si="0"/>
        <v>1.7</v>
      </c>
      <c r="L6" s="23">
        <f t="shared" si="0"/>
        <v>1.7</v>
      </c>
      <c r="M6" s="23">
        <f t="shared" si="0"/>
        <v>1.7</v>
      </c>
    </row>
    <row r="7" spans="1:13" ht="12.75">
      <c r="A7" s="15">
        <v>3</v>
      </c>
      <c r="B7" s="42" t="s">
        <v>343</v>
      </c>
      <c r="C7" s="56" t="s">
        <v>17</v>
      </c>
      <c r="D7" s="56" t="s">
        <v>33</v>
      </c>
      <c r="E7" s="20" t="s">
        <v>437</v>
      </c>
      <c r="F7" s="21">
        <v>18.65</v>
      </c>
      <c r="G7" s="8">
        <v>2018</v>
      </c>
      <c r="I7" s="23">
        <f t="shared" si="0"/>
        <v>18.65</v>
      </c>
      <c r="J7" s="23">
        <f t="shared" si="0"/>
        <v>18.65</v>
      </c>
      <c r="K7" s="23">
        <f t="shared" si="0"/>
        <v>18.65</v>
      </c>
      <c r="L7" s="23">
        <f t="shared" si="0"/>
        <v>18.65</v>
      </c>
      <c r="M7" s="23">
        <f t="shared" si="0"/>
        <v>0</v>
      </c>
    </row>
    <row r="8" spans="1:13" ht="12.75">
      <c r="A8" s="15">
        <v>4</v>
      </c>
      <c r="B8" s="42" t="s">
        <v>426</v>
      </c>
      <c r="C8" s="11" t="s">
        <v>17</v>
      </c>
      <c r="D8" s="11" t="s">
        <v>52</v>
      </c>
      <c r="E8" s="20" t="s">
        <v>437</v>
      </c>
      <c r="F8" s="21">
        <v>7</v>
      </c>
      <c r="G8" s="8">
        <v>2018</v>
      </c>
      <c r="I8" s="23">
        <f t="shared" si="0"/>
        <v>7</v>
      </c>
      <c r="J8" s="23">
        <f t="shared" si="0"/>
        <v>7</v>
      </c>
      <c r="K8" s="23">
        <f t="shared" si="0"/>
        <v>7</v>
      </c>
      <c r="L8" s="23">
        <f t="shared" si="0"/>
        <v>7</v>
      </c>
      <c r="M8" s="23">
        <f t="shared" si="0"/>
        <v>0</v>
      </c>
    </row>
    <row r="9" spans="1:13" ht="12.75">
      <c r="A9" s="15">
        <v>5</v>
      </c>
      <c r="B9" s="55" t="s">
        <v>381</v>
      </c>
      <c r="C9" s="11" t="s">
        <v>19</v>
      </c>
      <c r="D9" s="11" t="s">
        <v>25</v>
      </c>
      <c r="E9" s="40" t="s">
        <v>435</v>
      </c>
      <c r="F9" s="29">
        <v>5.8</v>
      </c>
      <c r="G9" s="40">
        <v>2018</v>
      </c>
      <c r="I9" s="23">
        <f t="shared" si="0"/>
        <v>5.8</v>
      </c>
      <c r="J9" s="23">
        <f t="shared" si="0"/>
        <v>5.8</v>
      </c>
      <c r="K9" s="23">
        <f t="shared" si="0"/>
        <v>5.8</v>
      </c>
      <c r="L9" s="23">
        <f t="shared" si="0"/>
        <v>5.8</v>
      </c>
      <c r="M9" s="23">
        <f t="shared" si="0"/>
        <v>0</v>
      </c>
    </row>
    <row r="10" spans="1:13" ht="12.75">
      <c r="A10" s="15">
        <v>6</v>
      </c>
      <c r="B10" s="10" t="s">
        <v>345</v>
      </c>
      <c r="C10" s="11" t="s">
        <v>40</v>
      </c>
      <c r="D10" s="11" t="s">
        <v>46</v>
      </c>
      <c r="E10" s="20" t="s">
        <v>437</v>
      </c>
      <c r="F10" s="16">
        <v>1.55</v>
      </c>
      <c r="G10" s="17">
        <v>2018</v>
      </c>
      <c r="I10" s="23">
        <f t="shared" si="0"/>
        <v>1.55</v>
      </c>
      <c r="J10" s="23">
        <f t="shared" si="0"/>
        <v>1.55</v>
      </c>
      <c r="K10" s="23">
        <f t="shared" si="0"/>
        <v>1.55</v>
      </c>
      <c r="L10" s="23">
        <f t="shared" si="0"/>
        <v>1.55</v>
      </c>
      <c r="M10" s="23">
        <f t="shared" si="0"/>
        <v>0</v>
      </c>
    </row>
    <row r="11" spans="1:13" ht="12.75">
      <c r="A11" s="15">
        <v>7</v>
      </c>
      <c r="B11" s="42" t="s">
        <v>425</v>
      </c>
      <c r="C11" s="11" t="s">
        <v>17</v>
      </c>
      <c r="D11" s="56" t="s">
        <v>24</v>
      </c>
      <c r="E11" s="20" t="s">
        <v>437</v>
      </c>
      <c r="F11" s="21">
        <v>1.55</v>
      </c>
      <c r="G11" s="8">
        <v>2018</v>
      </c>
      <c r="I11" s="23">
        <f t="shared" si="0"/>
        <v>1.55</v>
      </c>
      <c r="J11" s="23">
        <f t="shared" si="0"/>
        <v>1.55</v>
      </c>
      <c r="K11" s="23">
        <f t="shared" si="0"/>
        <v>1.55</v>
      </c>
      <c r="L11" s="23">
        <f t="shared" si="0"/>
        <v>1.55</v>
      </c>
      <c r="M11" s="23">
        <f t="shared" si="0"/>
        <v>0</v>
      </c>
    </row>
    <row r="12" spans="1:13" ht="12.75">
      <c r="A12" s="15">
        <v>8</v>
      </c>
      <c r="B12" s="10" t="s">
        <v>249</v>
      </c>
      <c r="C12" s="11" t="s">
        <v>18</v>
      </c>
      <c r="D12" s="11" t="s">
        <v>23</v>
      </c>
      <c r="E12" s="20" t="s">
        <v>47</v>
      </c>
      <c r="F12" s="21">
        <v>9.1</v>
      </c>
      <c r="G12" s="8">
        <v>2017</v>
      </c>
      <c r="I12" s="23">
        <f t="shared" si="0"/>
        <v>9.1</v>
      </c>
      <c r="J12" s="23">
        <f t="shared" si="0"/>
        <v>9.1</v>
      </c>
      <c r="K12" s="23">
        <f t="shared" si="0"/>
        <v>9.1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10" t="s">
        <v>324</v>
      </c>
      <c r="C13" s="11" t="s">
        <v>26</v>
      </c>
      <c r="D13" s="11" t="s">
        <v>27</v>
      </c>
      <c r="E13" s="11" t="s">
        <v>47</v>
      </c>
      <c r="F13" s="38">
        <v>6.25</v>
      </c>
      <c r="G13" s="11">
        <v>2017</v>
      </c>
      <c r="I13" s="23">
        <f t="shared" si="0"/>
        <v>6.25</v>
      </c>
      <c r="J13" s="23">
        <f t="shared" si="0"/>
        <v>6.25</v>
      </c>
      <c r="K13" s="23">
        <f t="shared" si="0"/>
        <v>6.25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42" t="s">
        <v>318</v>
      </c>
      <c r="C14" s="11" t="s">
        <v>37</v>
      </c>
      <c r="D14" s="56" t="s">
        <v>16</v>
      </c>
      <c r="E14" s="20" t="s">
        <v>47</v>
      </c>
      <c r="F14" s="21">
        <v>5.75</v>
      </c>
      <c r="G14" s="8">
        <v>2017</v>
      </c>
      <c r="I14" s="23">
        <f t="shared" si="0"/>
        <v>5.75</v>
      </c>
      <c r="J14" s="23">
        <f t="shared" si="0"/>
        <v>5.75</v>
      </c>
      <c r="K14" s="23">
        <f t="shared" si="0"/>
        <v>5.75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10" t="s">
        <v>277</v>
      </c>
      <c r="C15" s="11" t="s">
        <v>31</v>
      </c>
      <c r="D15" s="11" t="s">
        <v>43</v>
      </c>
      <c r="E15" s="11" t="s">
        <v>47</v>
      </c>
      <c r="F15" s="38">
        <v>5.05</v>
      </c>
      <c r="G15" s="11">
        <v>2017</v>
      </c>
      <c r="I15" s="23">
        <f aca="true" t="shared" si="1" ref="I15:M24">+IF($G15&gt;=I$3,$F15,0)</f>
        <v>5.05</v>
      </c>
      <c r="J15" s="23">
        <f t="shared" si="1"/>
        <v>5.05</v>
      </c>
      <c r="K15" s="23">
        <f t="shared" si="1"/>
        <v>5.05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42" t="s">
        <v>100</v>
      </c>
      <c r="C16" s="11" t="s">
        <v>37</v>
      </c>
      <c r="D16" s="11" t="s">
        <v>46</v>
      </c>
      <c r="E16" s="20" t="s">
        <v>47</v>
      </c>
      <c r="F16" s="21">
        <v>4.7</v>
      </c>
      <c r="G16" s="8">
        <v>2017</v>
      </c>
      <c r="I16" s="23">
        <f t="shared" si="1"/>
        <v>4.7</v>
      </c>
      <c r="J16" s="23">
        <f t="shared" si="1"/>
        <v>4.7</v>
      </c>
      <c r="K16" s="23">
        <f t="shared" si="1"/>
        <v>4.7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42" t="s">
        <v>327</v>
      </c>
      <c r="C17" s="56" t="s">
        <v>15</v>
      </c>
      <c r="D17" s="11" t="s">
        <v>16</v>
      </c>
      <c r="E17" s="20" t="s">
        <v>47</v>
      </c>
      <c r="F17" s="21">
        <v>4.5</v>
      </c>
      <c r="G17" s="8">
        <v>2017</v>
      </c>
      <c r="I17" s="23">
        <f t="shared" si="1"/>
        <v>4.5</v>
      </c>
      <c r="J17" s="23">
        <f t="shared" si="1"/>
        <v>4.5</v>
      </c>
      <c r="K17" s="23">
        <f t="shared" si="1"/>
        <v>4.5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49" t="s">
        <v>276</v>
      </c>
      <c r="C18" s="11" t="s">
        <v>19</v>
      </c>
      <c r="D18" s="11" t="s">
        <v>42</v>
      </c>
      <c r="E18" s="20" t="s">
        <v>47</v>
      </c>
      <c r="F18" s="21">
        <v>1.4</v>
      </c>
      <c r="G18" s="8">
        <v>2017</v>
      </c>
      <c r="I18" s="23">
        <f t="shared" si="1"/>
        <v>1.4</v>
      </c>
      <c r="J18" s="23">
        <f t="shared" si="1"/>
        <v>1.4</v>
      </c>
      <c r="K18" s="23">
        <f t="shared" si="1"/>
        <v>1.4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10" t="s">
        <v>313</v>
      </c>
      <c r="C19" s="11" t="s">
        <v>17</v>
      </c>
      <c r="D19" s="11" t="s">
        <v>32</v>
      </c>
      <c r="E19" s="11" t="s">
        <v>432</v>
      </c>
      <c r="F19" s="38">
        <v>1.4</v>
      </c>
      <c r="G19" s="11">
        <v>2017</v>
      </c>
      <c r="I19" s="23">
        <f t="shared" si="1"/>
        <v>1.4</v>
      </c>
      <c r="J19" s="23">
        <f t="shared" si="1"/>
        <v>1.4</v>
      </c>
      <c r="K19" s="23">
        <f t="shared" si="1"/>
        <v>1.4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5" t="s">
        <v>182</v>
      </c>
      <c r="C20" s="11" t="s">
        <v>15</v>
      </c>
      <c r="D20" s="11" t="s">
        <v>51</v>
      </c>
      <c r="E20" s="20" t="s">
        <v>434</v>
      </c>
      <c r="F20" s="21">
        <v>9.65</v>
      </c>
      <c r="G20" s="8">
        <v>2016</v>
      </c>
      <c r="I20" s="23">
        <f t="shared" si="1"/>
        <v>9.65</v>
      </c>
      <c r="J20" s="23">
        <f t="shared" si="1"/>
        <v>9.65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5" t="s">
        <v>344</v>
      </c>
      <c r="C21" s="11" t="s">
        <v>17</v>
      </c>
      <c r="D21" s="11" t="s">
        <v>28</v>
      </c>
      <c r="E21" s="20" t="s">
        <v>47</v>
      </c>
      <c r="F21" s="21">
        <v>7</v>
      </c>
      <c r="G21" s="8">
        <v>2016</v>
      </c>
      <c r="I21" s="23">
        <f t="shared" si="1"/>
        <v>7</v>
      </c>
      <c r="J21" s="23">
        <f t="shared" si="1"/>
        <v>7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42" t="s">
        <v>459</v>
      </c>
      <c r="C22" s="11" t="s">
        <v>18</v>
      </c>
      <c r="D22" s="56" t="s">
        <v>27</v>
      </c>
      <c r="E22" s="20" t="s">
        <v>441</v>
      </c>
      <c r="F22" s="21">
        <v>6.05</v>
      </c>
      <c r="G22" s="8">
        <v>2016</v>
      </c>
      <c r="I22" s="23">
        <f t="shared" si="1"/>
        <v>6.05</v>
      </c>
      <c r="J22" s="23">
        <f t="shared" si="1"/>
        <v>6.05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4" t="s">
        <v>431</v>
      </c>
      <c r="C23" s="56" t="s">
        <v>37</v>
      </c>
      <c r="D23" s="56" t="s">
        <v>88</v>
      </c>
      <c r="E23" s="57" t="s">
        <v>437</v>
      </c>
      <c r="F23" s="21">
        <v>1.55</v>
      </c>
      <c r="G23" s="8">
        <v>2016</v>
      </c>
      <c r="I23" s="23">
        <f t="shared" si="1"/>
        <v>1.55</v>
      </c>
      <c r="J23" s="23">
        <f t="shared" si="1"/>
        <v>1.55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42" t="s">
        <v>235</v>
      </c>
      <c r="C24" s="56" t="s">
        <v>17</v>
      </c>
      <c r="D24" s="11" t="s">
        <v>38</v>
      </c>
      <c r="E24" s="20" t="s">
        <v>47</v>
      </c>
      <c r="F24" s="21">
        <v>15.25</v>
      </c>
      <c r="G24" s="8">
        <v>2015</v>
      </c>
      <c r="I24" s="23">
        <f t="shared" si="1"/>
        <v>15.25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55" t="s">
        <v>131</v>
      </c>
      <c r="C25" s="11" t="s">
        <v>17</v>
      </c>
      <c r="D25" s="56" t="s">
        <v>21</v>
      </c>
      <c r="E25" s="20" t="s">
        <v>47</v>
      </c>
      <c r="F25" s="23">
        <v>4.45</v>
      </c>
      <c r="G25" s="20">
        <v>2015</v>
      </c>
      <c r="I25" s="23">
        <f aca="true" t="shared" si="2" ref="I25:M32">+IF($G25&gt;=I$3,$F25,0)</f>
        <v>4.45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10" t="s">
        <v>141</v>
      </c>
      <c r="C26" s="11" t="s">
        <v>19</v>
      </c>
      <c r="D26" s="11" t="s">
        <v>43</v>
      </c>
      <c r="E26" s="20" t="s">
        <v>47</v>
      </c>
      <c r="F26" s="16">
        <v>3</v>
      </c>
      <c r="G26" s="17">
        <v>2015</v>
      </c>
      <c r="I26" s="23">
        <f t="shared" si="2"/>
        <v>3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42" t="s">
        <v>738</v>
      </c>
      <c r="C27" s="11" t="s">
        <v>19</v>
      </c>
      <c r="D27" s="11" t="s">
        <v>23</v>
      </c>
      <c r="E27" s="20" t="s">
        <v>594</v>
      </c>
      <c r="F27" s="21">
        <v>1.7</v>
      </c>
      <c r="G27" s="8">
        <v>2015</v>
      </c>
      <c r="I27" s="23">
        <f t="shared" si="2"/>
        <v>1.7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10" t="s">
        <v>682</v>
      </c>
      <c r="C28" s="11" t="s">
        <v>26</v>
      </c>
      <c r="D28" s="56" t="s">
        <v>85</v>
      </c>
      <c r="E28" s="11" t="s">
        <v>594</v>
      </c>
      <c r="F28" s="38">
        <v>1.7</v>
      </c>
      <c r="G28" s="11">
        <v>2015</v>
      </c>
      <c r="I28" s="23">
        <f t="shared" si="2"/>
        <v>1.7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10" t="s">
        <v>622</v>
      </c>
      <c r="C29" s="11" t="s">
        <v>31</v>
      </c>
      <c r="D29" s="11" t="s">
        <v>52</v>
      </c>
      <c r="E29" s="11" t="s">
        <v>594</v>
      </c>
      <c r="F29" s="38">
        <v>1.7</v>
      </c>
      <c r="G29" s="11">
        <v>2015</v>
      </c>
      <c r="I29" s="23">
        <f t="shared" si="2"/>
        <v>1.7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54" t="s">
        <v>720</v>
      </c>
      <c r="C30" s="56" t="s">
        <v>19</v>
      </c>
      <c r="D30" s="56" t="s">
        <v>51</v>
      </c>
      <c r="E30" s="20" t="s">
        <v>594</v>
      </c>
      <c r="F30" s="21">
        <v>1.7</v>
      </c>
      <c r="G30" s="8">
        <v>2015</v>
      </c>
      <c r="I30" s="23">
        <f t="shared" si="2"/>
        <v>1.7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4" t="s">
        <v>729</v>
      </c>
      <c r="C31" s="11" t="s">
        <v>37</v>
      </c>
      <c r="D31" s="56" t="s">
        <v>48</v>
      </c>
      <c r="E31" s="56" t="s">
        <v>594</v>
      </c>
      <c r="F31" s="38">
        <v>1.7</v>
      </c>
      <c r="G31" s="11">
        <v>2015</v>
      </c>
      <c r="I31" s="23">
        <f t="shared" si="2"/>
        <v>1.7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49" t="s">
        <v>725</v>
      </c>
      <c r="C32" s="11" t="s">
        <v>37</v>
      </c>
      <c r="D32" s="11" t="s">
        <v>23</v>
      </c>
      <c r="E32" s="20" t="s">
        <v>594</v>
      </c>
      <c r="F32" s="21">
        <v>1.7</v>
      </c>
      <c r="G32" s="8">
        <v>2015</v>
      </c>
      <c r="I32" s="23">
        <f t="shared" si="2"/>
        <v>1.7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9:13" ht="12.75">
      <c r="I34" s="24">
        <f>+SUM(I5:I32)</f>
        <v>140.74999999999994</v>
      </c>
      <c r="J34" s="24">
        <f>+SUM(J5:J32)</f>
        <v>107.85</v>
      </c>
      <c r="K34" s="24">
        <f>+SUM(K5:K32)</f>
        <v>83.6</v>
      </c>
      <c r="L34" s="24">
        <f>+SUM(L5:L32)</f>
        <v>45.44999999999999</v>
      </c>
      <c r="M34" s="24">
        <f>+SUM(M5:M32)</f>
        <v>10.899999999999999</v>
      </c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+I3</f>
        <v>2015</v>
      </c>
      <c r="J38" s="14">
        <f>+J3</f>
        <v>2016</v>
      </c>
      <c r="K38" s="14">
        <f>+K3</f>
        <v>2017</v>
      </c>
      <c r="L38" s="14">
        <f>+L3</f>
        <v>2018</v>
      </c>
      <c r="M38" s="14">
        <f>+M3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55" t="s">
        <v>379</v>
      </c>
      <c r="C40" s="11" t="s">
        <v>19</v>
      </c>
      <c r="D40" s="11" t="s">
        <v>22</v>
      </c>
      <c r="E40" s="20" t="s">
        <v>435</v>
      </c>
      <c r="F40" s="21">
        <v>7</v>
      </c>
      <c r="G40" s="9">
        <v>2018</v>
      </c>
      <c r="I40" s="23">
        <f aca="true" t="shared" si="3" ref="I40:I45">+CEILING(IF($I$38&lt;=G40,F40*0.3,0),0.05)</f>
        <v>2.1</v>
      </c>
      <c r="J40" s="23">
        <f aca="true" t="shared" si="4" ref="J40:J45">+CEILING(IF($J$38&lt;=G40,F40*0.3,0),0.05)</f>
        <v>2.1</v>
      </c>
      <c r="K40" s="23">
        <f aca="true" t="shared" si="5" ref="K40:K45">+CEILING(IF($K$38&lt;=G40,F40*0.3,0),0.05)</f>
        <v>2.1</v>
      </c>
      <c r="L40" s="23">
        <f aca="true" t="shared" si="6" ref="L40:L45">+CEILING(IF($L$38&lt;=G40,F40*0.3,0),0.05)</f>
        <v>2.1</v>
      </c>
      <c r="M40" s="23">
        <f aca="true" t="shared" si="7" ref="M40:M45">+CEILING(IF($M$38&lt;=G40,F40*0.3,0),0.05)</f>
        <v>0</v>
      </c>
    </row>
    <row r="41" spans="1:13" ht="12.75">
      <c r="A41" s="15">
        <v>2</v>
      </c>
      <c r="B41" s="55" t="s">
        <v>283</v>
      </c>
      <c r="C41" s="11" t="s">
        <v>31</v>
      </c>
      <c r="D41" s="11" t="s">
        <v>43</v>
      </c>
      <c r="E41" s="20" t="s">
        <v>432</v>
      </c>
      <c r="F41" s="21">
        <v>8.7</v>
      </c>
      <c r="G41" s="8">
        <v>2017</v>
      </c>
      <c r="I41" s="23">
        <f t="shared" si="3"/>
        <v>2.6500000000000004</v>
      </c>
      <c r="J41" s="23">
        <f t="shared" si="4"/>
        <v>2.6500000000000004</v>
      </c>
      <c r="K41" s="23">
        <f t="shared" si="5"/>
        <v>2.6500000000000004</v>
      </c>
      <c r="L41" s="23">
        <f t="shared" si="6"/>
        <v>0</v>
      </c>
      <c r="M41" s="23">
        <f t="shared" si="7"/>
        <v>0</v>
      </c>
    </row>
    <row r="42" spans="1:13" ht="12.75">
      <c r="A42" s="15">
        <v>3</v>
      </c>
      <c r="B42" s="55" t="s">
        <v>187</v>
      </c>
      <c r="C42" s="11" t="s">
        <v>17</v>
      </c>
      <c r="D42" s="11" t="s">
        <v>51</v>
      </c>
      <c r="E42" s="20" t="s">
        <v>434</v>
      </c>
      <c r="F42" s="21">
        <v>6.2</v>
      </c>
      <c r="G42" s="9">
        <v>2016</v>
      </c>
      <c r="I42" s="23">
        <f t="shared" si="3"/>
        <v>1.9000000000000001</v>
      </c>
      <c r="J42" s="23">
        <f t="shared" si="4"/>
        <v>1.9000000000000001</v>
      </c>
      <c r="K42" s="23">
        <f t="shared" si="5"/>
        <v>0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B43" s="55"/>
      <c r="D43" s="11"/>
      <c r="E43" s="20"/>
      <c r="F43" s="21"/>
      <c r="G43" s="9"/>
      <c r="I43" s="23">
        <f t="shared" si="3"/>
        <v>0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55"/>
      <c r="D44" s="11"/>
      <c r="E44" s="20"/>
      <c r="F44" s="21"/>
      <c r="G44" s="9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55"/>
      <c r="D45" s="11"/>
      <c r="E45" s="20"/>
      <c r="F45" s="21"/>
      <c r="G45" s="9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76</v>
      </c>
      <c r="B46" s="54"/>
      <c r="C46" s="31"/>
      <c r="D46" s="31"/>
      <c r="E46" s="31"/>
      <c r="F46" s="16"/>
      <c r="G46" s="17"/>
      <c r="I46" s="23">
        <f>+CEILING(IF($I$38&lt;=G46,F46*0.3,0),0.05)</f>
        <v>0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39"/>
      <c r="J47" s="39"/>
      <c r="K47" s="39"/>
      <c r="L47" s="39"/>
      <c r="M47" s="39"/>
    </row>
    <row r="48" spans="1:13" ht="12.75">
      <c r="A48" s="15"/>
      <c r="I48" s="39">
        <f>+SUM(I40:I45)</f>
        <v>6.65</v>
      </c>
      <c r="J48" s="39">
        <f>+SUM(J40:J45)</f>
        <v>6.65</v>
      </c>
      <c r="K48" s="39">
        <f>+SUM(K40:K45)</f>
        <v>4.75</v>
      </c>
      <c r="L48" s="39">
        <f>+SUM(L40:L45)</f>
        <v>2.1</v>
      </c>
      <c r="M48" s="39">
        <f>+SUM(M40:M45)</f>
        <v>0</v>
      </c>
    </row>
    <row r="50" spans="1:13" ht="15.75">
      <c r="A50" s="140" t="s">
        <v>49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2015</v>
      </c>
      <c r="J52" s="14">
        <f>+J$3</f>
        <v>2016</v>
      </c>
      <c r="K52" s="14">
        <f>+K$3</f>
        <v>2017</v>
      </c>
      <c r="L52" s="14">
        <f>+L$3</f>
        <v>2018</v>
      </c>
      <c r="M52" s="14">
        <f>+M$3</f>
        <v>2019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42" t="s">
        <v>532</v>
      </c>
      <c r="C54" s="11" t="s">
        <v>26</v>
      </c>
      <c r="D54" s="11" t="s">
        <v>46</v>
      </c>
      <c r="E54" s="20">
        <v>2015</v>
      </c>
      <c r="F54" s="21">
        <v>6.6</v>
      </c>
      <c r="G54" s="8">
        <v>2019</v>
      </c>
      <c r="I54" s="23">
        <f aca="true" t="shared" si="8" ref="I54:I61">+CEILING(IF($I$52=E54,F54,IF($I$52&lt;=G54,F54*0.3,0)),0.05)</f>
        <v>6.6000000000000005</v>
      </c>
      <c r="J54" s="23">
        <f aca="true" t="shared" si="9" ref="J54:J61">+CEILING(IF($J$52&lt;=G54,F54*0.3,0),0.05)</f>
        <v>2</v>
      </c>
      <c r="K54" s="23">
        <f aca="true" t="shared" si="10" ref="K54:K61">+CEILING(IF($K$52&lt;=G54,F54*0.3,0),0.05)</f>
        <v>2</v>
      </c>
      <c r="L54" s="23">
        <f aca="true" t="shared" si="11" ref="L54:L61">+CEILING(IF($L$52&lt;=G54,F54*0.3,0),0.05)</f>
        <v>2</v>
      </c>
      <c r="M54" s="23">
        <f aca="true" t="shared" si="12" ref="M54:M61">CEILING(IF($M$52&lt;=G54,F54*0.3,0),0.05)</f>
        <v>2</v>
      </c>
    </row>
    <row r="55" spans="1:13" ht="12.75">
      <c r="A55" s="15">
        <v>2</v>
      </c>
      <c r="B55" s="42" t="s">
        <v>296</v>
      </c>
      <c r="C55" s="11" t="s">
        <v>37</v>
      </c>
      <c r="D55" s="56" t="s">
        <v>32</v>
      </c>
      <c r="E55" s="20">
        <v>2014</v>
      </c>
      <c r="F55" s="21">
        <v>3.2</v>
      </c>
      <c r="G55" s="8">
        <v>2017</v>
      </c>
      <c r="I55" s="23">
        <f t="shared" si="8"/>
        <v>1</v>
      </c>
      <c r="J55" s="23">
        <f t="shared" si="9"/>
        <v>1</v>
      </c>
      <c r="K55" s="23">
        <f t="shared" si="10"/>
        <v>1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55" t="s">
        <v>181</v>
      </c>
      <c r="C56" s="11" t="s">
        <v>17</v>
      </c>
      <c r="D56" s="11" t="s">
        <v>44</v>
      </c>
      <c r="E56" s="20">
        <v>2013</v>
      </c>
      <c r="F56" s="21">
        <v>6.65</v>
      </c>
      <c r="G56" s="8">
        <v>2016</v>
      </c>
      <c r="I56" s="23">
        <f t="shared" si="8"/>
        <v>2</v>
      </c>
      <c r="J56" s="23">
        <f t="shared" si="9"/>
        <v>2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5" t="s">
        <v>195</v>
      </c>
      <c r="C57" s="11" t="s">
        <v>19</v>
      </c>
      <c r="D57" s="56" t="s">
        <v>32</v>
      </c>
      <c r="E57" s="20">
        <v>2013</v>
      </c>
      <c r="F57" s="21">
        <v>6.05</v>
      </c>
      <c r="G57" s="8">
        <v>2016</v>
      </c>
      <c r="I57" s="23">
        <f t="shared" si="8"/>
        <v>1.85</v>
      </c>
      <c r="J57" s="23">
        <f t="shared" si="9"/>
        <v>1.85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42" t="s">
        <v>380</v>
      </c>
      <c r="C58" s="56" t="s">
        <v>37</v>
      </c>
      <c r="D58" s="11" t="s">
        <v>52</v>
      </c>
      <c r="E58" s="20">
        <v>2014</v>
      </c>
      <c r="F58" s="21">
        <v>3.95</v>
      </c>
      <c r="G58" s="8">
        <v>2016</v>
      </c>
      <c r="I58" s="23">
        <f t="shared" si="8"/>
        <v>1.2000000000000002</v>
      </c>
      <c r="J58" s="23">
        <f t="shared" si="9"/>
        <v>1.2000000000000002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42" t="s">
        <v>220</v>
      </c>
      <c r="C59" s="11" t="s">
        <v>17</v>
      </c>
      <c r="D59" s="56" t="s">
        <v>38</v>
      </c>
      <c r="E59" s="20">
        <v>2013</v>
      </c>
      <c r="F59" s="21">
        <v>3</v>
      </c>
      <c r="G59" s="8">
        <v>2016</v>
      </c>
      <c r="I59" s="23">
        <f t="shared" si="8"/>
        <v>0.9</v>
      </c>
      <c r="J59" s="23">
        <f t="shared" si="9"/>
        <v>0.9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42" t="s">
        <v>227</v>
      </c>
      <c r="C60" s="11" t="s">
        <v>17</v>
      </c>
      <c r="D60" s="11" t="s">
        <v>34</v>
      </c>
      <c r="E60" s="20">
        <v>2014</v>
      </c>
      <c r="F60" s="21">
        <v>1.9</v>
      </c>
      <c r="G60" s="8">
        <v>2016</v>
      </c>
      <c r="I60" s="23">
        <f t="shared" si="8"/>
        <v>0.6000000000000001</v>
      </c>
      <c r="J60" s="23">
        <f t="shared" si="9"/>
        <v>0.6000000000000001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10" t="s">
        <v>234</v>
      </c>
      <c r="C61" s="11" t="s">
        <v>26</v>
      </c>
      <c r="D61" s="56" t="s">
        <v>52</v>
      </c>
      <c r="E61" s="11">
        <v>2015</v>
      </c>
      <c r="F61" s="38">
        <v>8.6</v>
      </c>
      <c r="G61" s="11">
        <v>2015</v>
      </c>
      <c r="I61" s="23">
        <f t="shared" si="8"/>
        <v>8.6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10" t="s">
        <v>163</v>
      </c>
      <c r="C62" s="11" t="s">
        <v>31</v>
      </c>
      <c r="D62" s="11" t="s">
        <v>39</v>
      </c>
      <c r="E62" s="11">
        <v>2015</v>
      </c>
      <c r="F62" s="38">
        <v>7.55</v>
      </c>
      <c r="G62" s="11">
        <v>2015</v>
      </c>
      <c r="I62" s="23">
        <f>+CEILING(IF($I$52=E62,F62,IF($I$52&lt;=G62,F62*0.3,0)),0.05)</f>
        <v>7.550000000000001</v>
      </c>
      <c r="J62" s="23">
        <f>+CEILING(IF($J$52&lt;=G62,F62*0.3,0),0.05)</f>
        <v>0</v>
      </c>
      <c r="K62" s="23">
        <f>+CEILING(IF($K$52&lt;=G62,F62*0.3,0),0.05)</f>
        <v>0</v>
      </c>
      <c r="L62" s="23">
        <f>+CEILING(IF($L$52&lt;=G62,F62*0.3,0),0.05)</f>
        <v>0</v>
      </c>
      <c r="M62" s="23">
        <f>CEILING(IF($M$52&lt;=G62,F62*0.3,0),0.05)</f>
        <v>0</v>
      </c>
    </row>
    <row r="63" spans="1:13" ht="12.75">
      <c r="A63" s="15">
        <v>10</v>
      </c>
      <c r="B63" s="55" t="s">
        <v>98</v>
      </c>
      <c r="C63" s="11" t="s">
        <v>19</v>
      </c>
      <c r="D63" s="11" t="s">
        <v>23</v>
      </c>
      <c r="E63" s="20">
        <v>2011</v>
      </c>
      <c r="F63" s="21">
        <v>2.6</v>
      </c>
      <c r="G63" s="8">
        <v>2015</v>
      </c>
      <c r="I63" s="23">
        <f>+CEILING(IF($I$52=E63,F63,IF($I$52&lt;=G63,F63*0.3,0)),0.05)</f>
        <v>0.8</v>
      </c>
      <c r="J63" s="23">
        <f>+CEILING(IF($J$52&lt;=G63,F63*0.3,0),0.05)</f>
        <v>0</v>
      </c>
      <c r="K63" s="23">
        <f>+CEILING(IF($K$52&lt;=G63,F63*0.3,0),0.05)</f>
        <v>0</v>
      </c>
      <c r="L63" s="23">
        <f>+CEILING(IF($L$52&lt;=G63,F63*0.3,0),0.05)</f>
        <v>0</v>
      </c>
      <c r="M63" s="23">
        <f>CEILING(IF($M$52&lt;=G63,F63*0.3,0),0.05)</f>
        <v>0</v>
      </c>
    </row>
    <row r="64" spans="1:13" ht="12.75">
      <c r="A64" s="15">
        <v>11</v>
      </c>
      <c r="B64" s="55" t="s">
        <v>140</v>
      </c>
      <c r="C64" s="11" t="s">
        <v>15</v>
      </c>
      <c r="D64" s="11" t="s">
        <v>46</v>
      </c>
      <c r="E64" s="20">
        <v>2012</v>
      </c>
      <c r="F64" s="21">
        <v>2.2</v>
      </c>
      <c r="G64" s="8">
        <v>2015</v>
      </c>
      <c r="I64" s="23">
        <f>+CEILING(IF($I$52=E64,F64,IF($I$52&lt;=G64,F64*0.3,0)),0.05)</f>
        <v>0.7000000000000001</v>
      </c>
      <c r="J64" s="23">
        <f>+CEILING(IF($J$52&lt;=G64,F64*0.3,0),0.05)</f>
        <v>0</v>
      </c>
      <c r="K64" s="23">
        <f>+CEILING(IF($K$52&lt;=G64,F64*0.3,0),0.05)</f>
        <v>0</v>
      </c>
      <c r="L64" s="23">
        <f>+CEILING(IF($L$52&lt;=G64,F64*0.3,0),0.05)</f>
        <v>0</v>
      </c>
      <c r="M64" s="23">
        <f>CEILING(IF($M$52&lt;=G64,F64*0.3,0),0.05)</f>
        <v>0</v>
      </c>
    </row>
    <row r="65" spans="1:13" ht="12.75">
      <c r="A65" s="15">
        <v>12</v>
      </c>
      <c r="B65" s="55" t="s">
        <v>145</v>
      </c>
      <c r="C65" s="11" t="s">
        <v>18</v>
      </c>
      <c r="D65" s="11" t="s">
        <v>34</v>
      </c>
      <c r="E65" s="20">
        <v>2014</v>
      </c>
      <c r="F65" s="21">
        <v>2.15</v>
      </c>
      <c r="G65" s="8">
        <v>2015</v>
      </c>
      <c r="I65" s="23">
        <f aca="true" t="shared" si="13" ref="I65:I72">+CEILING(IF($I$52=E65,F65,IF($I$52&lt;=G65,F65*0.3,0)),0.05)</f>
        <v>0.65</v>
      </c>
      <c r="J65" s="23">
        <f aca="true" t="shared" si="14" ref="J65:J72">+CEILING(IF($J$52&lt;=G65,F65*0.3,0),0.05)</f>
        <v>0</v>
      </c>
      <c r="K65" s="23">
        <f aca="true" t="shared" si="15" ref="K65:K72">+CEILING(IF($K$52&lt;=G65,F65*0.3,0),0.05)</f>
        <v>0</v>
      </c>
      <c r="L65" s="23">
        <f aca="true" t="shared" si="16" ref="L65:L72">+CEILING(IF($L$52&lt;=G65,F65*0.3,0),0.05)</f>
        <v>0</v>
      </c>
      <c r="M65" s="23">
        <f aca="true" t="shared" si="17" ref="M65:M72">CEILING(IF($M$52&lt;=G65,F65*0.3,0),0.05)</f>
        <v>0</v>
      </c>
    </row>
    <row r="66" spans="1:13" ht="12.75">
      <c r="A66" s="15">
        <v>13</v>
      </c>
      <c r="B66" s="49" t="s">
        <v>629</v>
      </c>
      <c r="C66" s="11" t="s">
        <v>37</v>
      </c>
      <c r="D66" s="11" t="s">
        <v>226</v>
      </c>
      <c r="E66" s="20">
        <v>2015</v>
      </c>
      <c r="F66" s="21">
        <v>1.7</v>
      </c>
      <c r="G66" s="8">
        <v>2015</v>
      </c>
      <c r="I66" s="23">
        <f t="shared" si="13"/>
        <v>1.7000000000000002</v>
      </c>
      <c r="J66" s="23">
        <f t="shared" si="14"/>
        <v>0</v>
      </c>
      <c r="K66" s="23">
        <f t="shared" si="15"/>
        <v>0</v>
      </c>
      <c r="L66" s="23">
        <f t="shared" si="16"/>
        <v>0</v>
      </c>
      <c r="M66" s="23">
        <f t="shared" si="17"/>
        <v>0</v>
      </c>
    </row>
    <row r="67" spans="1:13" ht="12.75">
      <c r="A67" s="15">
        <v>14</v>
      </c>
      <c r="B67" s="54" t="s">
        <v>628</v>
      </c>
      <c r="C67" s="56" t="s">
        <v>19</v>
      </c>
      <c r="D67" s="56" t="s">
        <v>51</v>
      </c>
      <c r="E67" s="20">
        <v>2015</v>
      </c>
      <c r="F67" s="21">
        <v>1.7</v>
      </c>
      <c r="G67" s="8">
        <v>2015</v>
      </c>
      <c r="I67" s="23">
        <f t="shared" si="13"/>
        <v>1.7000000000000002</v>
      </c>
      <c r="J67" s="23">
        <f t="shared" si="14"/>
        <v>0</v>
      </c>
      <c r="K67" s="23">
        <f t="shared" si="15"/>
        <v>0</v>
      </c>
      <c r="L67" s="23">
        <f t="shared" si="16"/>
        <v>0</v>
      </c>
      <c r="M67" s="23">
        <f t="shared" si="17"/>
        <v>0</v>
      </c>
    </row>
    <row r="68" spans="1:13" ht="12.75">
      <c r="A68" s="15">
        <v>15</v>
      </c>
      <c r="B68" s="54" t="s">
        <v>337</v>
      </c>
      <c r="C68" s="11" t="s">
        <v>17</v>
      </c>
      <c r="D68" s="56" t="s">
        <v>439</v>
      </c>
      <c r="E68" s="56">
        <v>2015</v>
      </c>
      <c r="F68" s="38">
        <v>1.7</v>
      </c>
      <c r="G68" s="11">
        <v>2015</v>
      </c>
      <c r="I68" s="23">
        <f t="shared" si="13"/>
        <v>1.7000000000000002</v>
      </c>
      <c r="J68" s="23">
        <f t="shared" si="14"/>
        <v>0</v>
      </c>
      <c r="K68" s="23">
        <f t="shared" si="15"/>
        <v>0</v>
      </c>
      <c r="L68" s="23">
        <f t="shared" si="16"/>
        <v>0</v>
      </c>
      <c r="M68" s="23">
        <f t="shared" si="17"/>
        <v>0</v>
      </c>
    </row>
    <row r="69" spans="1:13" ht="12.75">
      <c r="A69" s="15">
        <v>16</v>
      </c>
      <c r="B69" s="54" t="s">
        <v>660</v>
      </c>
      <c r="C69" s="56" t="s">
        <v>19</v>
      </c>
      <c r="D69" s="56" t="s">
        <v>36</v>
      </c>
      <c r="E69" s="20">
        <v>2015</v>
      </c>
      <c r="F69" s="21">
        <v>1.7</v>
      </c>
      <c r="G69" s="8">
        <v>2015</v>
      </c>
      <c r="I69" s="23">
        <f>+CEILING(IF($I$52=E69,F69,IF($I$52&lt;=G69,F69*0.3,0)),0.05)</f>
        <v>1.7000000000000002</v>
      </c>
      <c r="J69" s="23">
        <f>+CEILING(IF($J$52&lt;=G69,F69*0.3,0),0.05)</f>
        <v>0</v>
      </c>
      <c r="K69" s="23">
        <f>+CEILING(IF($K$52&lt;=G69,F69*0.3,0),0.05)</f>
        <v>0</v>
      </c>
      <c r="L69" s="23">
        <f>+CEILING(IF($L$52&lt;=G69,F69*0.3,0),0.05)</f>
        <v>0</v>
      </c>
      <c r="M69" s="23">
        <f>CEILING(IF($M$52&lt;=G69,F69*0.3,0),0.05)</f>
        <v>0</v>
      </c>
    </row>
    <row r="70" spans="1:13" ht="12.75">
      <c r="A70" s="15">
        <v>17</v>
      </c>
      <c r="B70" s="10" t="s">
        <v>633</v>
      </c>
      <c r="C70" s="11" t="s">
        <v>17</v>
      </c>
      <c r="D70" s="11" t="s">
        <v>48</v>
      </c>
      <c r="E70" s="11">
        <v>2015</v>
      </c>
      <c r="F70" s="16">
        <v>1.7</v>
      </c>
      <c r="G70" s="17">
        <v>2015</v>
      </c>
      <c r="I70" s="23">
        <f>+CEILING(IF($I$52=E70,F70,IF($I$52&lt;=G70,F70*0.3,0)),0.05)</f>
        <v>1.7000000000000002</v>
      </c>
      <c r="J70" s="23">
        <f>+CEILING(IF($J$52&lt;=G70,F70*0.3,0),0.05)</f>
        <v>0</v>
      </c>
      <c r="K70" s="23">
        <f>+CEILING(IF($K$52&lt;=G70,F70*0.3,0),0.05)</f>
        <v>0</v>
      </c>
      <c r="L70" s="23">
        <f>+CEILING(IF($L$52&lt;=G70,F70*0.3,0),0.05)</f>
        <v>0</v>
      </c>
      <c r="M70" s="23">
        <f>CEILING(IF($M$52&lt;=G70,F70*0.3,0),0.05)</f>
        <v>0</v>
      </c>
    </row>
    <row r="71" spans="1:13" ht="12.75">
      <c r="A71" s="15">
        <v>18</v>
      </c>
      <c r="B71" s="10" t="s">
        <v>673</v>
      </c>
      <c r="C71" s="11" t="s">
        <v>17</v>
      </c>
      <c r="D71" s="11" t="s">
        <v>23</v>
      </c>
      <c r="E71" s="11">
        <v>2015</v>
      </c>
      <c r="F71" s="16">
        <v>1.7</v>
      </c>
      <c r="G71" s="17">
        <v>2015</v>
      </c>
      <c r="I71" s="23">
        <f>+CEILING(IF($I$52=E71,F71,IF($I$52&lt;=G71,F71*0.3,0)),0.05)</f>
        <v>1.7000000000000002</v>
      </c>
      <c r="J71" s="23">
        <f>+CEILING(IF($J$52&lt;=G71,F71*0.3,0),0.05)</f>
        <v>0</v>
      </c>
      <c r="K71" s="23">
        <f>+CEILING(IF($K$52&lt;=G71,F71*0.3,0),0.05)</f>
        <v>0</v>
      </c>
      <c r="L71" s="23">
        <f>+CEILING(IF($L$52&lt;=G71,F71*0.3,0),0.05)</f>
        <v>0</v>
      </c>
      <c r="M71" s="23">
        <f>CEILING(IF($M$52&lt;=G71,F71*0.3,0),0.05)</f>
        <v>0</v>
      </c>
    </row>
    <row r="72" spans="1:13" ht="12.75">
      <c r="A72" s="15">
        <v>19</v>
      </c>
      <c r="B72" s="54" t="s">
        <v>604</v>
      </c>
      <c r="C72" s="11" t="s">
        <v>17</v>
      </c>
      <c r="D72" s="11" t="s">
        <v>24</v>
      </c>
      <c r="E72" s="20">
        <v>2015</v>
      </c>
      <c r="F72" s="21">
        <v>1.7</v>
      </c>
      <c r="G72" s="8">
        <v>2015</v>
      </c>
      <c r="I72" s="23">
        <f t="shared" si="13"/>
        <v>1.7000000000000002</v>
      </c>
      <c r="J72" s="23">
        <f t="shared" si="14"/>
        <v>0</v>
      </c>
      <c r="K72" s="23">
        <f t="shared" si="15"/>
        <v>0</v>
      </c>
      <c r="L72" s="23">
        <f t="shared" si="16"/>
        <v>0</v>
      </c>
      <c r="M72" s="23">
        <f t="shared" si="17"/>
        <v>0</v>
      </c>
    </row>
    <row r="73" spans="1:13" ht="12.75">
      <c r="A73" s="15">
        <v>20</v>
      </c>
      <c r="B73" s="54" t="s">
        <v>666</v>
      </c>
      <c r="C73" s="11" t="s">
        <v>15</v>
      </c>
      <c r="D73" s="56" t="s">
        <v>85</v>
      </c>
      <c r="E73" s="56">
        <v>2015</v>
      </c>
      <c r="F73" s="38">
        <v>1.7</v>
      </c>
      <c r="G73" s="11">
        <v>2015</v>
      </c>
      <c r="I73" s="23">
        <f aca="true" t="shared" si="18" ref="I73:I79">+CEILING(IF($I$52=E73,F73,IF($I$52&lt;=G73,F73*0.3,0)),0.05)</f>
        <v>1.7000000000000002</v>
      </c>
      <c r="J73" s="23">
        <f aca="true" t="shared" si="19" ref="J73:J79">+CEILING(IF($J$52&lt;=G73,F73*0.3,0),0.05)</f>
        <v>0</v>
      </c>
      <c r="K73" s="23">
        <f aca="true" t="shared" si="20" ref="K73:K79">+CEILING(IF($K$52&lt;=G73,F73*0.3,0),0.05)</f>
        <v>0</v>
      </c>
      <c r="L73" s="23">
        <f aca="true" t="shared" si="21" ref="L73:L79">+CEILING(IF($L$52&lt;=G73,F73*0.3,0),0.05)</f>
        <v>0</v>
      </c>
      <c r="M73" s="23">
        <f aca="true" t="shared" si="22" ref="M73:M79">CEILING(IF($M$52&lt;=G73,F73*0.3,0),0.05)</f>
        <v>0</v>
      </c>
    </row>
    <row r="74" spans="1:13" ht="12.75">
      <c r="A74" s="15">
        <v>21</v>
      </c>
      <c r="B74" s="54" t="s">
        <v>121</v>
      </c>
      <c r="C74" s="11" t="s">
        <v>17</v>
      </c>
      <c r="D74" s="56" t="s">
        <v>43</v>
      </c>
      <c r="E74" s="56">
        <v>2015</v>
      </c>
      <c r="F74" s="38">
        <v>1.7</v>
      </c>
      <c r="G74" s="11">
        <v>2015</v>
      </c>
      <c r="I74" s="23">
        <f t="shared" si="18"/>
        <v>1.7000000000000002</v>
      </c>
      <c r="J74" s="23">
        <f t="shared" si="19"/>
        <v>0</v>
      </c>
      <c r="K74" s="23">
        <f t="shared" si="20"/>
        <v>0</v>
      </c>
      <c r="L74" s="23">
        <f t="shared" si="21"/>
        <v>0</v>
      </c>
      <c r="M74" s="23">
        <f t="shared" si="22"/>
        <v>0</v>
      </c>
    </row>
    <row r="75" spans="1:13" ht="12.75">
      <c r="A75" s="15">
        <v>22</v>
      </c>
      <c r="B75" s="49" t="s">
        <v>657</v>
      </c>
      <c r="C75" s="11" t="s">
        <v>37</v>
      </c>
      <c r="D75" s="11" t="s">
        <v>85</v>
      </c>
      <c r="E75" s="20">
        <v>2015</v>
      </c>
      <c r="F75" s="21">
        <v>1.7</v>
      </c>
      <c r="G75" s="8">
        <v>2015</v>
      </c>
      <c r="I75" s="23">
        <f t="shared" si="18"/>
        <v>1.7000000000000002</v>
      </c>
      <c r="J75" s="23">
        <f t="shared" si="19"/>
        <v>0</v>
      </c>
      <c r="K75" s="23">
        <f t="shared" si="20"/>
        <v>0</v>
      </c>
      <c r="L75" s="23">
        <f t="shared" si="21"/>
        <v>0</v>
      </c>
      <c r="M75" s="23">
        <f t="shared" si="22"/>
        <v>0</v>
      </c>
    </row>
    <row r="76" spans="1:13" ht="12.75">
      <c r="A76" s="15">
        <v>23</v>
      </c>
      <c r="B76" s="54" t="s">
        <v>683</v>
      </c>
      <c r="C76" s="11" t="s">
        <v>26</v>
      </c>
      <c r="D76" s="11" t="s">
        <v>22</v>
      </c>
      <c r="E76" s="20">
        <v>2015</v>
      </c>
      <c r="F76" s="21">
        <v>1.7</v>
      </c>
      <c r="G76" s="8">
        <v>2015</v>
      </c>
      <c r="I76" s="23">
        <f t="shared" si="18"/>
        <v>1.7000000000000002</v>
      </c>
      <c r="J76" s="23">
        <f t="shared" si="19"/>
        <v>0</v>
      </c>
      <c r="K76" s="23">
        <f t="shared" si="20"/>
        <v>0</v>
      </c>
      <c r="L76" s="23">
        <f t="shared" si="21"/>
        <v>0</v>
      </c>
      <c r="M76" s="23">
        <f t="shared" si="22"/>
        <v>0</v>
      </c>
    </row>
    <row r="77" spans="1:13" ht="12.75">
      <c r="A77" s="15">
        <v>24</v>
      </c>
      <c r="B77" s="54" t="s">
        <v>706</v>
      </c>
      <c r="C77" s="11" t="s">
        <v>17</v>
      </c>
      <c r="D77" s="11" t="s">
        <v>25</v>
      </c>
      <c r="E77" s="20">
        <v>2015</v>
      </c>
      <c r="F77" s="21">
        <v>1.7</v>
      </c>
      <c r="G77" s="8">
        <v>2015</v>
      </c>
      <c r="I77" s="23">
        <f t="shared" si="18"/>
        <v>1.7000000000000002</v>
      </c>
      <c r="J77" s="23">
        <f t="shared" si="19"/>
        <v>0</v>
      </c>
      <c r="K77" s="23">
        <f t="shared" si="20"/>
        <v>0</v>
      </c>
      <c r="L77" s="23">
        <f t="shared" si="21"/>
        <v>0</v>
      </c>
      <c r="M77" s="23">
        <f t="shared" si="22"/>
        <v>0</v>
      </c>
    </row>
    <row r="78" spans="1:13" ht="12.75">
      <c r="A78" s="15">
        <v>25</v>
      </c>
      <c r="B78" s="54" t="s">
        <v>710</v>
      </c>
      <c r="C78" s="11" t="s">
        <v>17</v>
      </c>
      <c r="D78" s="11" t="s">
        <v>22</v>
      </c>
      <c r="E78" s="20">
        <v>2015</v>
      </c>
      <c r="F78" s="21">
        <v>1.7</v>
      </c>
      <c r="G78" s="8">
        <v>2015</v>
      </c>
      <c r="I78" s="23">
        <f t="shared" si="18"/>
        <v>1.7000000000000002</v>
      </c>
      <c r="J78" s="23">
        <f t="shared" si="19"/>
        <v>0</v>
      </c>
      <c r="K78" s="23">
        <f t="shared" si="20"/>
        <v>0</v>
      </c>
      <c r="L78" s="23">
        <f t="shared" si="21"/>
        <v>0</v>
      </c>
      <c r="M78" s="23">
        <f t="shared" si="22"/>
        <v>0</v>
      </c>
    </row>
    <row r="79" spans="1:13" ht="12.75">
      <c r="A79" s="15">
        <v>26</v>
      </c>
      <c r="B79" s="54" t="s">
        <v>700</v>
      </c>
      <c r="C79" s="11" t="s">
        <v>17</v>
      </c>
      <c r="D79" s="56" t="s">
        <v>34</v>
      </c>
      <c r="E79" s="56">
        <v>2015</v>
      </c>
      <c r="F79" s="38">
        <v>1.7</v>
      </c>
      <c r="G79" s="11">
        <v>2015</v>
      </c>
      <c r="I79" s="23">
        <f t="shared" si="18"/>
        <v>1.7000000000000002</v>
      </c>
      <c r="J79" s="23">
        <f t="shared" si="19"/>
        <v>0</v>
      </c>
      <c r="K79" s="23">
        <f t="shared" si="20"/>
        <v>0</v>
      </c>
      <c r="L79" s="23">
        <f t="shared" si="21"/>
        <v>0</v>
      </c>
      <c r="M79" s="23">
        <f t="shared" si="22"/>
        <v>0</v>
      </c>
    </row>
    <row r="80" spans="1:13" ht="12.75">
      <c r="A80" s="15">
        <v>27</v>
      </c>
      <c r="B80" s="49" t="s">
        <v>703</v>
      </c>
      <c r="C80" s="11" t="s">
        <v>37</v>
      </c>
      <c r="D80" s="11" t="s">
        <v>25</v>
      </c>
      <c r="E80" s="20">
        <v>2015</v>
      </c>
      <c r="F80" s="21">
        <v>1.7</v>
      </c>
      <c r="G80" s="8">
        <v>2015</v>
      </c>
      <c r="I80" s="23">
        <f>+CEILING(IF($I$52=E80,F80,IF($I$52&lt;=G80,F80*0.3,0)),0.05)</f>
        <v>1.7000000000000002</v>
      </c>
      <c r="J80" s="23">
        <f>+CEILING(IF($J$52&lt;=G80,F80*0.3,0),0.05)</f>
        <v>0</v>
      </c>
      <c r="K80" s="23">
        <f>+CEILING(IF($K$52&lt;=G80,F80*0.3,0),0.05)</f>
        <v>0</v>
      </c>
      <c r="L80" s="23">
        <f>+CEILING(IF($L$52&lt;=G80,F80*0.3,0),0.05)</f>
        <v>0</v>
      </c>
      <c r="M80" s="23">
        <f>CEILING(IF($M$52&lt;=G80,F80*0.3,0),0.05)</f>
        <v>0</v>
      </c>
    </row>
    <row r="81" spans="1:13" ht="12.75">
      <c r="A81" s="15">
        <v>28</v>
      </c>
      <c r="B81" s="54" t="s">
        <v>670</v>
      </c>
      <c r="C81" s="56" t="s">
        <v>19</v>
      </c>
      <c r="D81" s="56" t="s">
        <v>24</v>
      </c>
      <c r="E81" s="20">
        <v>2015</v>
      </c>
      <c r="F81" s="21">
        <v>1.7</v>
      </c>
      <c r="G81" s="8">
        <v>2015</v>
      </c>
      <c r="I81" s="23">
        <f>+CEILING(IF($I$52=E81,F81,IF($I$52&lt;=G81,F81*0.3,0)),0.05)</f>
        <v>1.7000000000000002</v>
      </c>
      <c r="J81" s="23">
        <f>+CEILING(IF($J$52&lt;=G81,F81*0.3,0),0.05)</f>
        <v>0</v>
      </c>
      <c r="K81" s="23">
        <f>+CEILING(IF($K$52&lt;=G81,F81*0.3,0),0.05)</f>
        <v>0</v>
      </c>
      <c r="L81" s="23">
        <f>+CEILING(IF($L$52&lt;=G81,F81*0.3,0),0.05)</f>
        <v>0</v>
      </c>
      <c r="M81" s="23">
        <f>CEILING(IF($M$52&lt;=G81,F81*0.3,0),0.05)</f>
        <v>0</v>
      </c>
    </row>
    <row r="82" spans="1:13" ht="12.75">
      <c r="A82" s="15">
        <v>29</v>
      </c>
      <c r="B82" s="49" t="s">
        <v>714</v>
      </c>
      <c r="C82" s="11" t="s">
        <v>37</v>
      </c>
      <c r="D82" s="11" t="s">
        <v>29</v>
      </c>
      <c r="E82" s="20">
        <v>2015</v>
      </c>
      <c r="F82" s="21">
        <v>1.7</v>
      </c>
      <c r="G82" s="8">
        <v>2015</v>
      </c>
      <c r="I82" s="23">
        <f>+CEILING(IF($I$52=E82,F82,IF($I$52&lt;=G82,F82*0.3,0)),0.05)</f>
        <v>1.7000000000000002</v>
      </c>
      <c r="J82" s="23">
        <f>+CEILING(IF($J$52&lt;=G82,F82*0.3,0),0.05)</f>
        <v>0</v>
      </c>
      <c r="K82" s="23">
        <f>+CEILING(IF($K$52&lt;=G82,F82*0.3,0),0.05)</f>
        <v>0</v>
      </c>
      <c r="L82" s="23">
        <f>+CEILING(IF($L$52&lt;=G82,F82*0.3,0),0.05)</f>
        <v>0</v>
      </c>
      <c r="M82" s="23">
        <f>CEILING(IF($M$52&lt;=G82,F82*0.3,0),0.05)</f>
        <v>0</v>
      </c>
    </row>
    <row r="83" spans="1:13" ht="12.75">
      <c r="A83" s="15">
        <v>30</v>
      </c>
      <c r="B83" s="54" t="s">
        <v>712</v>
      </c>
      <c r="C83" s="11" t="s">
        <v>37</v>
      </c>
      <c r="D83" s="56" t="s">
        <v>45</v>
      </c>
      <c r="E83" s="56">
        <v>2015</v>
      </c>
      <c r="F83" s="38">
        <v>1.7</v>
      </c>
      <c r="G83" s="11">
        <v>2015</v>
      </c>
      <c r="I83" s="23">
        <f>+CEILING(IF($I$52=E83,F83,IF($I$52&lt;=G83,F83*0.3,0)),0.05)</f>
        <v>1.7000000000000002</v>
      </c>
      <c r="J83" s="23">
        <f>+CEILING(IF($J$52&lt;=G83,F83*0.3,0),0.05)</f>
        <v>0</v>
      </c>
      <c r="K83" s="23">
        <f>+CEILING(IF($K$52&lt;=G83,F83*0.3,0),0.05)</f>
        <v>0</v>
      </c>
      <c r="L83" s="23">
        <f>+CEILING(IF($L$52&lt;=G83,F83*0.3,0),0.05)</f>
        <v>0</v>
      </c>
      <c r="M83" s="23">
        <f>CEILING(IF($M$52&lt;=G83,F83*0.3,0),0.05)</f>
        <v>0</v>
      </c>
    </row>
    <row r="84" spans="1:13" ht="12.75">
      <c r="A84" s="15">
        <v>31</v>
      </c>
      <c r="B84" s="10" t="s">
        <v>337</v>
      </c>
      <c r="C84" s="11" t="s">
        <v>17</v>
      </c>
      <c r="D84" s="11" t="s">
        <v>678</v>
      </c>
      <c r="E84" s="11">
        <v>2015</v>
      </c>
      <c r="F84" s="16">
        <v>1.7</v>
      </c>
      <c r="G84" s="17">
        <v>2015</v>
      </c>
      <c r="I84" s="23">
        <f aca="true" t="shared" si="23" ref="I84:I89">+CEILING(IF($I$52=E84,F84,IF($I$52&lt;=G84,F84*0.3,0)),0.05)</f>
        <v>1.7000000000000002</v>
      </c>
      <c r="J84" s="23">
        <f aca="true" t="shared" si="24" ref="J84:J89">+CEILING(IF($J$52&lt;=G84,F84*0.3,0),0.05)</f>
        <v>0</v>
      </c>
      <c r="K84" s="23">
        <f aca="true" t="shared" si="25" ref="K84:K89">+CEILING(IF($K$52&lt;=G84,F84*0.3,0),0.05)</f>
        <v>0</v>
      </c>
      <c r="L84" s="23">
        <f aca="true" t="shared" si="26" ref="L84:L89">+CEILING(IF($L$52&lt;=G84,F84*0.3,0),0.05)</f>
        <v>0</v>
      </c>
      <c r="M84" s="23">
        <f aca="true" t="shared" si="27" ref="M84:M89">CEILING(IF($M$52&lt;=G84,F84*0.3,0),0.05)</f>
        <v>0</v>
      </c>
    </row>
    <row r="85" spans="1:13" ht="12.75">
      <c r="A85" s="15">
        <v>32</v>
      </c>
      <c r="B85" s="42" t="s">
        <v>736</v>
      </c>
      <c r="C85" s="11" t="s">
        <v>19</v>
      </c>
      <c r="D85" s="11" t="s">
        <v>16</v>
      </c>
      <c r="E85" s="20">
        <v>2015</v>
      </c>
      <c r="F85" s="21">
        <v>1.7</v>
      </c>
      <c r="G85" s="8">
        <v>2015</v>
      </c>
      <c r="I85" s="23">
        <f t="shared" si="23"/>
        <v>1.7000000000000002</v>
      </c>
      <c r="J85" s="23">
        <f t="shared" si="24"/>
        <v>0</v>
      </c>
      <c r="K85" s="23">
        <f t="shared" si="25"/>
        <v>0</v>
      </c>
      <c r="L85" s="23">
        <f t="shared" si="26"/>
        <v>0</v>
      </c>
      <c r="M85" s="23">
        <f t="shared" si="27"/>
        <v>0</v>
      </c>
    </row>
    <row r="86" spans="1:13" ht="12.75">
      <c r="A86" s="15">
        <v>33</v>
      </c>
      <c r="B86" s="10" t="s">
        <v>146</v>
      </c>
      <c r="C86" s="11" t="s">
        <v>15</v>
      </c>
      <c r="D86" s="11" t="s">
        <v>39</v>
      </c>
      <c r="E86" s="11">
        <v>2011</v>
      </c>
      <c r="F86" s="38">
        <v>1.2</v>
      </c>
      <c r="G86" s="11">
        <v>2015</v>
      </c>
      <c r="I86" s="23">
        <f t="shared" si="23"/>
        <v>0.4</v>
      </c>
      <c r="J86" s="23">
        <f t="shared" si="24"/>
        <v>0</v>
      </c>
      <c r="K86" s="23">
        <f t="shared" si="25"/>
        <v>0</v>
      </c>
      <c r="L86" s="23">
        <f t="shared" si="26"/>
        <v>0</v>
      </c>
      <c r="M86" s="23">
        <f t="shared" si="27"/>
        <v>0</v>
      </c>
    </row>
    <row r="87" spans="1:13" ht="12.75">
      <c r="A87" s="15">
        <v>34</v>
      </c>
      <c r="B87" s="42"/>
      <c r="D87" s="56"/>
      <c r="E87" s="20"/>
      <c r="F87" s="21"/>
      <c r="G87" s="8"/>
      <c r="I87" s="23">
        <f t="shared" si="23"/>
        <v>0</v>
      </c>
      <c r="J87" s="23">
        <f t="shared" si="24"/>
        <v>0</v>
      </c>
      <c r="K87" s="23">
        <f t="shared" si="25"/>
        <v>0</v>
      </c>
      <c r="L87" s="23">
        <f t="shared" si="26"/>
        <v>0</v>
      </c>
      <c r="M87" s="23">
        <f t="shared" si="27"/>
        <v>0</v>
      </c>
    </row>
    <row r="88" spans="1:13" ht="12.75">
      <c r="A88" s="15">
        <v>35</v>
      </c>
      <c r="B88" s="42"/>
      <c r="C88" s="56"/>
      <c r="D88" s="56"/>
      <c r="E88" s="20"/>
      <c r="F88" s="21"/>
      <c r="G88" s="8"/>
      <c r="I88" s="23">
        <f t="shared" si="23"/>
        <v>0</v>
      </c>
      <c r="J88" s="23">
        <f t="shared" si="24"/>
        <v>0</v>
      </c>
      <c r="K88" s="23">
        <f t="shared" si="25"/>
        <v>0</v>
      </c>
      <c r="L88" s="23">
        <f t="shared" si="26"/>
        <v>0</v>
      </c>
      <c r="M88" s="23">
        <f t="shared" si="27"/>
        <v>0</v>
      </c>
    </row>
    <row r="89" spans="1:13" ht="12.75">
      <c r="A89" s="15">
        <v>36</v>
      </c>
      <c r="B89" s="42"/>
      <c r="C89" s="56"/>
      <c r="D89" s="56"/>
      <c r="E89" s="20"/>
      <c r="F89" s="21"/>
      <c r="G89" s="8"/>
      <c r="I89" s="23">
        <f t="shared" si="23"/>
        <v>0</v>
      </c>
      <c r="J89" s="23">
        <f t="shared" si="24"/>
        <v>0</v>
      </c>
      <c r="K89" s="23">
        <f t="shared" si="25"/>
        <v>0</v>
      </c>
      <c r="L89" s="23">
        <f t="shared" si="26"/>
        <v>0</v>
      </c>
      <c r="M89" s="23">
        <f t="shared" si="27"/>
        <v>0</v>
      </c>
    </row>
    <row r="90" spans="1:13" ht="12.75">
      <c r="A90" s="15">
        <v>37</v>
      </c>
      <c r="B90" s="55"/>
      <c r="D90" s="11"/>
      <c r="E90" s="20"/>
      <c r="F90" s="21"/>
      <c r="G90" s="8"/>
      <c r="I90" s="23">
        <f>+CEILING(IF($I$52=E90,F90,IF($I$52&lt;=G90,F90*0.3,0)),0.05)</f>
        <v>0</v>
      </c>
      <c r="J90" s="23">
        <f>+CEILING(IF($J$52&lt;=G90,F90*0.3,0),0.05)</f>
        <v>0</v>
      </c>
      <c r="K90" s="23">
        <f>+CEILING(IF($K$52&lt;=G90,F90*0.3,0),0.05)</f>
        <v>0</v>
      </c>
      <c r="L90" s="23">
        <f>+CEILING(IF($L$52&lt;=G90,F90*0.3,0),0.05)</f>
        <v>0</v>
      </c>
      <c r="M90" s="23">
        <f>CEILING(IF($M$52&lt;=G90,F90*0.3,0),0.05)</f>
        <v>0</v>
      </c>
    </row>
    <row r="91" spans="1:13" ht="12.75">
      <c r="A91" s="15">
        <v>38</v>
      </c>
      <c r="B91" s="54"/>
      <c r="D91" s="56"/>
      <c r="E91" s="56"/>
      <c r="F91" s="38"/>
      <c r="G91" s="11"/>
      <c r="I91" s="23">
        <f>+CEILING(IF($I$52=E91,F91,IF($I$52&lt;=G91,F91*0.3,0)),0.05)</f>
        <v>0</v>
      </c>
      <c r="J91" s="23">
        <f>+CEILING(IF($J$52&lt;=G91,F91*0.3,0),0.05)</f>
        <v>0</v>
      </c>
      <c r="K91" s="23">
        <f>+CEILING(IF($K$52&lt;=G91,F91*0.3,0),0.05)</f>
        <v>0</v>
      </c>
      <c r="L91" s="23">
        <f>+CEILING(IF($L$52&lt;=G91,F91*0.3,0),0.05)</f>
        <v>0</v>
      </c>
      <c r="M91" s="23">
        <f>CEILING(IF($M$52&lt;=G91,F91*0.3,0),0.05)</f>
        <v>0</v>
      </c>
    </row>
    <row r="92" spans="1:13" ht="12.75">
      <c r="A92" s="15">
        <v>39</v>
      </c>
      <c r="D92" s="11"/>
      <c r="E92" s="11"/>
      <c r="F92" s="38"/>
      <c r="G92" s="11"/>
      <c r="I92" s="23">
        <f>+CEILING(IF($I$52=E92,F92,IF($I$52&lt;=G92,F92*0.3,0)),0.05)</f>
        <v>0</v>
      </c>
      <c r="J92" s="23">
        <f>+CEILING(IF($J$52&lt;=G92,F92*0.3,0),0.05)</f>
        <v>0</v>
      </c>
      <c r="K92" s="23">
        <f>+CEILING(IF($K$52&lt;=G92,F92*0.3,0),0.05)</f>
        <v>0</v>
      </c>
      <c r="L92" s="23">
        <f>+CEILING(IF($L$52&lt;=G92,F92*0.3,0),0.05)</f>
        <v>0</v>
      </c>
      <c r="M92" s="23">
        <f>CEILING(IF($M$52&lt;=G92,F92*0.3,0),0.05)</f>
        <v>0</v>
      </c>
    </row>
    <row r="93" spans="9:13" ht="7.5" customHeight="1">
      <c r="I93" s="22"/>
      <c r="J93" s="22"/>
      <c r="K93" s="22"/>
      <c r="L93" s="22"/>
      <c r="M93" s="22"/>
    </row>
    <row r="94" spans="9:13" ht="12.75">
      <c r="I94" s="24">
        <f>+SUM(I54:I93)</f>
        <v>66.85000000000007</v>
      </c>
      <c r="J94" s="24">
        <f>+SUM(J54:J93)</f>
        <v>9.55</v>
      </c>
      <c r="K94" s="24">
        <f>+SUM(K54:K93)</f>
        <v>3</v>
      </c>
      <c r="L94" s="24">
        <f>+SUM(L54:L93)</f>
        <v>2</v>
      </c>
      <c r="M94" s="24">
        <f>+SUM(M54:M93)</f>
        <v>2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2015</v>
      </c>
      <c r="J3" s="14">
        <v>2016</v>
      </c>
      <c r="K3" s="14">
        <v>2017</v>
      </c>
      <c r="L3" s="14">
        <v>2018</v>
      </c>
      <c r="M3" s="14">
        <v>2019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55" t="s">
        <v>485</v>
      </c>
      <c r="C5" s="11" t="s">
        <v>17</v>
      </c>
      <c r="D5" s="11" t="s">
        <v>20</v>
      </c>
      <c r="E5" s="20" t="s">
        <v>441</v>
      </c>
      <c r="F5" s="21">
        <v>12.95</v>
      </c>
      <c r="G5" s="8">
        <v>2017</v>
      </c>
      <c r="I5" s="23">
        <f aca="true" t="shared" si="0" ref="I5:M14">+IF($G5&gt;=I$3,$F5,0)</f>
        <v>12.95</v>
      </c>
      <c r="J5" s="23">
        <f t="shared" si="0"/>
        <v>12.95</v>
      </c>
      <c r="K5" s="23">
        <f t="shared" si="0"/>
        <v>12.95</v>
      </c>
      <c r="L5" s="23">
        <f t="shared" si="0"/>
        <v>0</v>
      </c>
      <c r="M5" s="23">
        <f t="shared" si="0"/>
        <v>0</v>
      </c>
    </row>
    <row r="6" spans="1:13" ht="12.75">
      <c r="A6" s="15">
        <v>2</v>
      </c>
      <c r="B6" s="55" t="s">
        <v>544</v>
      </c>
      <c r="C6" s="11" t="s">
        <v>17</v>
      </c>
      <c r="D6" s="11" t="s">
        <v>25</v>
      </c>
      <c r="E6" s="20" t="s">
        <v>441</v>
      </c>
      <c r="F6" s="21">
        <v>9.95</v>
      </c>
      <c r="G6" s="8">
        <v>2017</v>
      </c>
      <c r="I6" s="23">
        <f t="shared" si="0"/>
        <v>9.95</v>
      </c>
      <c r="J6" s="23">
        <f t="shared" si="0"/>
        <v>9.95</v>
      </c>
      <c r="K6" s="23">
        <f t="shared" si="0"/>
        <v>9.95</v>
      </c>
      <c r="L6" s="23">
        <f t="shared" si="0"/>
        <v>0</v>
      </c>
      <c r="M6" s="23">
        <f t="shared" si="0"/>
        <v>0</v>
      </c>
    </row>
    <row r="7" spans="1:13" ht="12.75">
      <c r="A7" s="15">
        <v>3</v>
      </c>
      <c r="B7" s="55" t="s">
        <v>541</v>
      </c>
      <c r="C7" s="11" t="s">
        <v>37</v>
      </c>
      <c r="D7" s="11" t="s">
        <v>24</v>
      </c>
      <c r="E7" s="20" t="s">
        <v>441</v>
      </c>
      <c r="F7" s="21">
        <v>9.5</v>
      </c>
      <c r="G7" s="8">
        <v>2017</v>
      </c>
      <c r="I7" s="23">
        <f t="shared" si="0"/>
        <v>9.5</v>
      </c>
      <c r="J7" s="23">
        <f t="shared" si="0"/>
        <v>9.5</v>
      </c>
      <c r="K7" s="23">
        <f t="shared" si="0"/>
        <v>9.5</v>
      </c>
      <c r="L7" s="23">
        <f t="shared" si="0"/>
        <v>0</v>
      </c>
      <c r="M7" s="23">
        <f t="shared" si="0"/>
        <v>0</v>
      </c>
    </row>
    <row r="8" spans="1:13" ht="12.75">
      <c r="A8" s="15">
        <v>4</v>
      </c>
      <c r="B8" s="55" t="s">
        <v>350</v>
      </c>
      <c r="C8" s="11" t="s">
        <v>15</v>
      </c>
      <c r="D8" s="11" t="s">
        <v>32</v>
      </c>
      <c r="E8" s="20" t="s">
        <v>441</v>
      </c>
      <c r="F8" s="21">
        <v>5.2</v>
      </c>
      <c r="G8" s="8">
        <v>2017</v>
      </c>
      <c r="I8" s="23">
        <f t="shared" si="0"/>
        <v>5.2</v>
      </c>
      <c r="J8" s="23">
        <f t="shared" si="0"/>
        <v>5.2</v>
      </c>
      <c r="K8" s="23">
        <f t="shared" si="0"/>
        <v>5.2</v>
      </c>
      <c r="L8" s="23">
        <f t="shared" si="0"/>
        <v>0</v>
      </c>
      <c r="M8" s="23">
        <f t="shared" si="0"/>
        <v>0</v>
      </c>
    </row>
    <row r="9" spans="1:13" ht="12.75">
      <c r="A9" s="15">
        <v>5</v>
      </c>
      <c r="B9" s="55" t="s">
        <v>535</v>
      </c>
      <c r="C9" s="11" t="s">
        <v>31</v>
      </c>
      <c r="D9" s="56" t="s">
        <v>24</v>
      </c>
      <c r="E9" s="20" t="s">
        <v>441</v>
      </c>
      <c r="F9" s="21">
        <v>5</v>
      </c>
      <c r="G9" s="8">
        <v>2017</v>
      </c>
      <c r="I9" s="23">
        <f t="shared" si="0"/>
        <v>5</v>
      </c>
      <c r="J9" s="23">
        <f t="shared" si="0"/>
        <v>5</v>
      </c>
      <c r="K9" s="23">
        <f t="shared" si="0"/>
        <v>5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54" t="s">
        <v>329</v>
      </c>
      <c r="C10" s="11" t="s">
        <v>17</v>
      </c>
      <c r="D10" s="11" t="s">
        <v>51</v>
      </c>
      <c r="E10" s="20" t="s">
        <v>432</v>
      </c>
      <c r="F10" s="21">
        <v>1.9</v>
      </c>
      <c r="G10" s="8">
        <v>2017</v>
      </c>
      <c r="I10" s="23">
        <f t="shared" si="0"/>
        <v>1.9</v>
      </c>
      <c r="J10" s="23">
        <f t="shared" si="0"/>
        <v>1.9</v>
      </c>
      <c r="K10" s="23">
        <f t="shared" si="0"/>
        <v>1.9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55" t="s">
        <v>549</v>
      </c>
      <c r="C11" s="11" t="s">
        <v>37</v>
      </c>
      <c r="D11" s="11" t="s">
        <v>35</v>
      </c>
      <c r="E11" s="20" t="s">
        <v>441</v>
      </c>
      <c r="F11" s="21">
        <v>9.95</v>
      </c>
      <c r="G11" s="8">
        <v>2016</v>
      </c>
      <c r="I11" s="23">
        <f t="shared" si="0"/>
        <v>9.95</v>
      </c>
      <c r="J11" s="23">
        <f t="shared" si="0"/>
        <v>9.95</v>
      </c>
      <c r="K11" s="23">
        <f t="shared" si="0"/>
        <v>0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55" t="s">
        <v>522</v>
      </c>
      <c r="C12" s="11" t="s">
        <v>19</v>
      </c>
      <c r="D12" s="56" t="s">
        <v>21</v>
      </c>
      <c r="E12" s="20" t="s">
        <v>441</v>
      </c>
      <c r="F12" s="21">
        <v>5.95</v>
      </c>
      <c r="G12" s="8">
        <v>2016</v>
      </c>
      <c r="I12" s="23">
        <f t="shared" si="0"/>
        <v>5.95</v>
      </c>
      <c r="J12" s="23">
        <f t="shared" si="0"/>
        <v>5.95</v>
      </c>
      <c r="K12" s="23">
        <f t="shared" si="0"/>
        <v>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55" t="s">
        <v>405</v>
      </c>
      <c r="C13" s="11" t="s">
        <v>37</v>
      </c>
      <c r="D13" s="56" t="s">
        <v>44</v>
      </c>
      <c r="E13" s="20" t="s">
        <v>47</v>
      </c>
      <c r="F13" s="21">
        <v>4.85</v>
      </c>
      <c r="G13" s="8">
        <v>2016</v>
      </c>
      <c r="I13" s="23">
        <f t="shared" si="0"/>
        <v>4.85</v>
      </c>
      <c r="J13" s="23">
        <f t="shared" si="0"/>
        <v>4.85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55" t="s">
        <v>406</v>
      </c>
      <c r="C14" s="11" t="s">
        <v>37</v>
      </c>
      <c r="D14" s="56" t="s">
        <v>20</v>
      </c>
      <c r="E14" s="20" t="s">
        <v>47</v>
      </c>
      <c r="F14" s="21">
        <v>4.75</v>
      </c>
      <c r="G14" s="8">
        <v>2016</v>
      </c>
      <c r="I14" s="23">
        <f t="shared" si="0"/>
        <v>4.75</v>
      </c>
      <c r="J14" s="23">
        <f t="shared" si="0"/>
        <v>4.75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55" t="s">
        <v>408</v>
      </c>
      <c r="C15" s="56" t="s">
        <v>17</v>
      </c>
      <c r="D15" s="56" t="s">
        <v>27</v>
      </c>
      <c r="E15" s="20" t="s">
        <v>47</v>
      </c>
      <c r="F15" s="21">
        <v>4.25</v>
      </c>
      <c r="G15" s="8">
        <v>2016</v>
      </c>
      <c r="I15" s="23">
        <f aca="true" t="shared" si="1" ref="I15:M24">+IF($G15&gt;=I$3,$F15,0)</f>
        <v>4.25</v>
      </c>
      <c r="J15" s="23">
        <f t="shared" si="1"/>
        <v>4.25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55" t="s">
        <v>96</v>
      </c>
      <c r="C16" s="11" t="s">
        <v>19</v>
      </c>
      <c r="D16" s="56" t="s">
        <v>43</v>
      </c>
      <c r="E16" s="20" t="s">
        <v>441</v>
      </c>
      <c r="F16" s="21">
        <v>4.15</v>
      </c>
      <c r="G16" s="9">
        <v>2016</v>
      </c>
      <c r="I16" s="23">
        <f t="shared" si="1"/>
        <v>4.15</v>
      </c>
      <c r="J16" s="23">
        <f t="shared" si="1"/>
        <v>4.15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55" t="s">
        <v>99</v>
      </c>
      <c r="C17" s="11" t="s">
        <v>17</v>
      </c>
      <c r="D17" s="11" t="s">
        <v>85</v>
      </c>
      <c r="E17" s="20" t="s">
        <v>47</v>
      </c>
      <c r="F17" s="21">
        <v>3.25</v>
      </c>
      <c r="G17" s="8">
        <v>2016</v>
      </c>
      <c r="I17" s="23">
        <f>+IF($G17&gt;=I$3,$F17,0)</f>
        <v>3.25</v>
      </c>
      <c r="J17" s="23">
        <f>+IF($G17&gt;=J$3,$F17,0)</f>
        <v>3.25</v>
      </c>
      <c r="K17" s="23">
        <f>+IF($G17&gt;=K$3,$F17,0)</f>
        <v>0</v>
      </c>
      <c r="L17" s="23">
        <f>+IF($G17&gt;=L$3,$F17,0)</f>
        <v>0</v>
      </c>
      <c r="M17" s="23">
        <f>+IF($G17&gt;=M$3,$F17,0)</f>
        <v>0</v>
      </c>
    </row>
    <row r="18" spans="1:13" ht="12.75">
      <c r="A18" s="15">
        <v>14</v>
      </c>
      <c r="B18" s="55" t="s">
        <v>400</v>
      </c>
      <c r="C18" s="11" t="s">
        <v>19</v>
      </c>
      <c r="D18" s="11" t="s">
        <v>29</v>
      </c>
      <c r="E18" s="20" t="s">
        <v>47</v>
      </c>
      <c r="F18" s="21">
        <v>1.8</v>
      </c>
      <c r="G18" s="8">
        <v>2016</v>
      </c>
      <c r="I18" s="23">
        <f t="shared" si="1"/>
        <v>1.8</v>
      </c>
      <c r="J18" s="23">
        <f t="shared" si="1"/>
        <v>1.8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4" t="s">
        <v>207</v>
      </c>
      <c r="C19" s="11" t="s">
        <v>19</v>
      </c>
      <c r="D19" s="11" t="s">
        <v>88</v>
      </c>
      <c r="E19" s="20" t="s">
        <v>47</v>
      </c>
      <c r="F19" s="21">
        <v>1.6</v>
      </c>
      <c r="G19" s="8">
        <v>2016</v>
      </c>
      <c r="I19" s="23">
        <f t="shared" si="1"/>
        <v>1.6</v>
      </c>
      <c r="J19" s="23">
        <f t="shared" si="1"/>
        <v>1.6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4" t="s">
        <v>384</v>
      </c>
      <c r="C20" s="11" t="s">
        <v>40</v>
      </c>
      <c r="D20" s="11" t="s">
        <v>42</v>
      </c>
      <c r="E20" s="20" t="s">
        <v>47</v>
      </c>
      <c r="F20" s="21">
        <v>1.55</v>
      </c>
      <c r="G20" s="8">
        <v>2016</v>
      </c>
      <c r="I20" s="23">
        <f t="shared" si="1"/>
        <v>1.55</v>
      </c>
      <c r="J20" s="23">
        <f t="shared" si="1"/>
        <v>1.55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5" t="s">
        <v>385</v>
      </c>
      <c r="C21" s="11" t="s">
        <v>26</v>
      </c>
      <c r="D21" s="11" t="s">
        <v>43</v>
      </c>
      <c r="E21" s="20" t="s">
        <v>47</v>
      </c>
      <c r="F21" s="21">
        <v>1.55</v>
      </c>
      <c r="G21" s="9">
        <v>2016</v>
      </c>
      <c r="I21" s="23">
        <f t="shared" si="1"/>
        <v>1.55</v>
      </c>
      <c r="J21" s="23">
        <f t="shared" si="1"/>
        <v>1.55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55" t="s">
        <v>142</v>
      </c>
      <c r="C22" s="11" t="s">
        <v>19</v>
      </c>
      <c r="D22" s="11" t="s">
        <v>16</v>
      </c>
      <c r="E22" s="20" t="s">
        <v>47</v>
      </c>
      <c r="F22" s="21">
        <v>1.55</v>
      </c>
      <c r="G22" s="8">
        <v>2016</v>
      </c>
      <c r="I22" s="23">
        <f t="shared" si="1"/>
        <v>1.55</v>
      </c>
      <c r="J22" s="23">
        <f t="shared" si="1"/>
        <v>1.55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5" t="s">
        <v>430</v>
      </c>
      <c r="C23" s="11" t="s">
        <v>40</v>
      </c>
      <c r="D23" s="56" t="s">
        <v>39</v>
      </c>
      <c r="E23" s="20" t="s">
        <v>47</v>
      </c>
      <c r="F23" s="21">
        <v>1.55</v>
      </c>
      <c r="G23" s="8">
        <v>2016</v>
      </c>
      <c r="I23" s="23">
        <f t="shared" si="1"/>
        <v>1.55</v>
      </c>
      <c r="J23" s="23">
        <f t="shared" si="1"/>
        <v>1.55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55" t="s">
        <v>407</v>
      </c>
      <c r="C24" s="11" t="s">
        <v>31</v>
      </c>
      <c r="D24" s="56" t="s">
        <v>85</v>
      </c>
      <c r="E24" s="20" t="s">
        <v>47</v>
      </c>
      <c r="F24" s="21">
        <v>1.55</v>
      </c>
      <c r="G24" s="8">
        <v>2016</v>
      </c>
      <c r="I24" s="23">
        <f t="shared" si="1"/>
        <v>1.55</v>
      </c>
      <c r="J24" s="23">
        <f t="shared" si="1"/>
        <v>1.55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54" t="s">
        <v>529</v>
      </c>
      <c r="C25" s="11" t="s">
        <v>37</v>
      </c>
      <c r="D25" s="56" t="s">
        <v>42</v>
      </c>
      <c r="E25" s="20" t="s">
        <v>441</v>
      </c>
      <c r="F25" s="16">
        <v>11.15</v>
      </c>
      <c r="G25" s="17">
        <v>2015</v>
      </c>
      <c r="I25" s="23">
        <f aca="true" t="shared" si="2" ref="I25:M32">+IF($G25&gt;=I$3,$F25,0)</f>
        <v>11.15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55" t="s">
        <v>231</v>
      </c>
      <c r="C26" s="11" t="s">
        <v>31</v>
      </c>
      <c r="D26" s="11" t="s">
        <v>51</v>
      </c>
      <c r="E26" s="20" t="s">
        <v>47</v>
      </c>
      <c r="F26" s="21">
        <v>10</v>
      </c>
      <c r="G26" s="8">
        <v>2015</v>
      </c>
      <c r="I26" s="23">
        <f t="shared" si="2"/>
        <v>10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10" t="s">
        <v>317</v>
      </c>
      <c r="C27" s="11" t="s">
        <v>17</v>
      </c>
      <c r="D27" s="56" t="s">
        <v>52</v>
      </c>
      <c r="E27" s="11" t="s">
        <v>47</v>
      </c>
      <c r="F27" s="25">
        <v>3.35</v>
      </c>
      <c r="G27" s="11">
        <v>2015</v>
      </c>
      <c r="I27" s="23">
        <f t="shared" si="2"/>
        <v>3.35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10" t="s">
        <v>320</v>
      </c>
      <c r="C28" s="56" t="s">
        <v>18</v>
      </c>
      <c r="D28" s="11" t="s">
        <v>20</v>
      </c>
      <c r="E28" s="11" t="s">
        <v>47</v>
      </c>
      <c r="F28" s="25">
        <v>2.8</v>
      </c>
      <c r="G28" s="11">
        <v>2015</v>
      </c>
      <c r="I28" s="23">
        <f t="shared" si="2"/>
        <v>2.8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55" t="s">
        <v>328</v>
      </c>
      <c r="C29" s="11" t="s">
        <v>15</v>
      </c>
      <c r="D29" s="11" t="s">
        <v>45</v>
      </c>
      <c r="E29" s="20" t="s">
        <v>47</v>
      </c>
      <c r="F29" s="21">
        <v>2.7</v>
      </c>
      <c r="G29" s="8">
        <v>2015</v>
      </c>
      <c r="I29" s="23">
        <f t="shared" si="2"/>
        <v>2.7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55" t="s">
        <v>595</v>
      </c>
      <c r="C30" s="11" t="s">
        <v>17</v>
      </c>
      <c r="D30" s="56" t="s">
        <v>27</v>
      </c>
      <c r="E30" s="20" t="s">
        <v>594</v>
      </c>
      <c r="F30" s="21">
        <v>1.7</v>
      </c>
      <c r="G30" s="8">
        <v>2015</v>
      </c>
      <c r="I30" s="23">
        <f t="shared" si="2"/>
        <v>1.7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5" t="s">
        <v>551</v>
      </c>
      <c r="C31" s="11" t="s">
        <v>37</v>
      </c>
      <c r="D31" s="11" t="s">
        <v>48</v>
      </c>
      <c r="E31" s="20" t="s">
        <v>441</v>
      </c>
      <c r="F31" s="21">
        <v>1.7</v>
      </c>
      <c r="G31" s="8">
        <v>2015</v>
      </c>
      <c r="I31" s="23">
        <f t="shared" si="2"/>
        <v>1.7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55" t="s">
        <v>702</v>
      </c>
      <c r="C32" s="11" t="s">
        <v>17</v>
      </c>
      <c r="D32" s="11" t="s">
        <v>29</v>
      </c>
      <c r="E32" s="20" t="s">
        <v>594</v>
      </c>
      <c r="F32" s="21">
        <v>1.7</v>
      </c>
      <c r="G32" s="8">
        <v>2015</v>
      </c>
      <c r="I32" s="23">
        <f t="shared" si="2"/>
        <v>1.7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9:13" ht="12.75">
      <c r="I34" s="24">
        <f>+SUM(I5:I32)</f>
        <v>127.89999999999999</v>
      </c>
      <c r="J34" s="24">
        <f>+SUM(J5:J32)</f>
        <v>92.79999999999998</v>
      </c>
      <c r="K34" s="24">
        <f>+SUM(K5:K32)</f>
        <v>44.5</v>
      </c>
      <c r="L34" s="24">
        <f>+SUM(L5:L32)</f>
        <v>0</v>
      </c>
      <c r="M34" s="24">
        <f>+SUM(M5:M32)</f>
        <v>0</v>
      </c>
    </row>
    <row r="36" spans="1:13" ht="15.75">
      <c r="A36" s="140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2015</v>
      </c>
      <c r="J38" s="14">
        <f>+J$3</f>
        <v>2016</v>
      </c>
      <c r="K38" s="14">
        <f>+K$3</f>
        <v>2017</v>
      </c>
      <c r="L38" s="14">
        <f>+L$3</f>
        <v>2018</v>
      </c>
      <c r="M38" s="14">
        <f>+M$3</f>
        <v>2019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54" t="s">
        <v>209</v>
      </c>
      <c r="C40" s="11" t="s">
        <v>17</v>
      </c>
      <c r="D40" s="11" t="s">
        <v>36</v>
      </c>
      <c r="E40" s="20" t="s">
        <v>434</v>
      </c>
      <c r="F40" s="21">
        <v>6.1</v>
      </c>
      <c r="G40" s="8">
        <v>2016</v>
      </c>
      <c r="I40" s="23">
        <f aca="true" t="shared" si="3" ref="I40:I45">+CEILING(IF($I$38&lt;=G40,F40*0.3,0),0.05)</f>
        <v>1.85</v>
      </c>
      <c r="J40" s="23">
        <f aca="true" t="shared" si="4" ref="J40:J45">+CEILING(IF($J$38&lt;=G40,F40*0.3,0),0.05)</f>
        <v>1.85</v>
      </c>
      <c r="K40" s="23">
        <f aca="true" t="shared" si="5" ref="K40:K45">+CEILING(IF($K$38&lt;=G40,F40*0.3,0),0.05)</f>
        <v>0</v>
      </c>
      <c r="L40" s="23">
        <f aca="true" t="shared" si="6" ref="L40:L45">+CEILING(IF($L$38&lt;=G40,F40*0.3,0),0.05)</f>
        <v>0</v>
      </c>
      <c r="M40" s="23">
        <f aca="true" t="shared" si="7" ref="M40:M45">+CEILING(IF($M$38&lt;=G40,F40*0.3,0),0.05)</f>
        <v>0</v>
      </c>
    </row>
    <row r="41" spans="1:13" ht="12.75">
      <c r="A41" s="15">
        <v>2</v>
      </c>
      <c r="B41" s="55" t="s">
        <v>386</v>
      </c>
      <c r="C41" s="11" t="s">
        <v>37</v>
      </c>
      <c r="D41" s="56" t="s">
        <v>42</v>
      </c>
      <c r="E41" s="20" t="s">
        <v>47</v>
      </c>
      <c r="F41" s="21">
        <v>1.55</v>
      </c>
      <c r="G41" s="8">
        <v>2016</v>
      </c>
      <c r="I41" s="23">
        <f t="shared" si="3"/>
        <v>0.5</v>
      </c>
      <c r="J41" s="23">
        <f t="shared" si="4"/>
        <v>0.5</v>
      </c>
      <c r="K41" s="23">
        <f t="shared" si="5"/>
        <v>0</v>
      </c>
      <c r="L41" s="23">
        <f t="shared" si="6"/>
        <v>0</v>
      </c>
      <c r="M41" s="23">
        <f t="shared" si="7"/>
        <v>0</v>
      </c>
    </row>
    <row r="42" spans="1:13" ht="12.75">
      <c r="A42" s="15">
        <v>3</v>
      </c>
      <c r="B42" s="55" t="s">
        <v>326</v>
      </c>
      <c r="C42" s="11" t="s">
        <v>40</v>
      </c>
      <c r="D42" s="56" t="s">
        <v>88</v>
      </c>
      <c r="E42" s="20" t="s">
        <v>47</v>
      </c>
      <c r="F42" s="21">
        <v>4.25</v>
      </c>
      <c r="G42" s="8">
        <v>2015</v>
      </c>
      <c r="I42" s="23">
        <f t="shared" si="3"/>
        <v>1.3</v>
      </c>
      <c r="J42" s="23">
        <f t="shared" si="4"/>
        <v>0</v>
      </c>
      <c r="K42" s="23">
        <f t="shared" si="5"/>
        <v>0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D43" s="11"/>
      <c r="E43" s="11"/>
      <c r="F43" s="25"/>
      <c r="G43" s="11"/>
      <c r="I43" s="23">
        <f t="shared" si="3"/>
        <v>0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30"/>
      <c r="D44" s="11"/>
      <c r="E44" s="20"/>
      <c r="F44" s="21"/>
      <c r="G44" s="8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22"/>
      <c r="D45" s="11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76</v>
      </c>
      <c r="B46" s="36"/>
      <c r="C46" s="31"/>
      <c r="D46" s="31"/>
      <c r="E46" s="31"/>
      <c r="F46" s="16"/>
      <c r="G46" s="17"/>
      <c r="I46" s="23">
        <f>+CEILING(IF($I$38&lt;=G46,F46*0.3,0),0.05)</f>
        <v>0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3.6500000000000004</v>
      </c>
      <c r="J48" s="19">
        <f>+SUM(J40:J47)</f>
        <v>2.35</v>
      </c>
      <c r="K48" s="19">
        <f>+SUM(K40:K47)</f>
        <v>0</v>
      </c>
      <c r="L48" s="19">
        <f>+SUM(L40:L47)</f>
        <v>0</v>
      </c>
      <c r="M48" s="19">
        <f>+SUM(M40:M47)</f>
        <v>0</v>
      </c>
    </row>
    <row r="50" spans="1:13" ht="15.75">
      <c r="A50" s="140" t="s">
        <v>49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2015</v>
      </c>
      <c r="J52" s="14">
        <f>+J$3</f>
        <v>2016</v>
      </c>
      <c r="K52" s="14">
        <f>+K$3</f>
        <v>2017</v>
      </c>
      <c r="L52" s="14">
        <f>+L$3</f>
        <v>2018</v>
      </c>
      <c r="M52" s="14">
        <f>+M$3</f>
        <v>2019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54" t="s">
        <v>156</v>
      </c>
      <c r="C54" s="11" t="s">
        <v>40</v>
      </c>
      <c r="D54" s="11" t="s">
        <v>52</v>
      </c>
      <c r="E54" s="20">
        <v>2013</v>
      </c>
      <c r="F54" s="21">
        <v>4.35</v>
      </c>
      <c r="G54" s="8">
        <v>2015</v>
      </c>
      <c r="I54" s="23">
        <f>+CEILING(IF($I$52=E54,F54,IF($I$52&lt;=G54,F54*0.3,0)),0.05)</f>
        <v>1.35</v>
      </c>
      <c r="J54" s="23">
        <f>+CEILING(IF($J$52&lt;=G54,F54*0.3,0),0.05)</f>
        <v>0</v>
      </c>
      <c r="K54" s="23">
        <f>+CEILING(IF($K$52&lt;=G54,F54*0.3,0),0.05)</f>
        <v>0</v>
      </c>
      <c r="L54" s="23">
        <f>+CEILING(IF($L$52&lt;=G54,F54*0.3,0),0.05)</f>
        <v>0</v>
      </c>
      <c r="M54" s="23">
        <f>CEILING(IF($M$52&lt;=G54,F54*0.3,0),0.05)</f>
        <v>0</v>
      </c>
    </row>
    <row r="55" spans="1:13" ht="12.75">
      <c r="A55" s="15">
        <v>2</v>
      </c>
      <c r="B55" s="55" t="s">
        <v>154</v>
      </c>
      <c r="C55" s="11" t="s">
        <v>31</v>
      </c>
      <c r="D55" s="11" t="s">
        <v>88</v>
      </c>
      <c r="E55" s="20">
        <v>2013</v>
      </c>
      <c r="F55" s="21">
        <v>4</v>
      </c>
      <c r="G55" s="9">
        <v>2015</v>
      </c>
      <c r="I55" s="23">
        <f aca="true" t="shared" si="8" ref="I55:I63">+CEILING(IF($I$52=E55,F55,IF($I$52&lt;=G55,F55*0.3,0)),0.05)</f>
        <v>1.2000000000000002</v>
      </c>
      <c r="J55" s="23">
        <f aca="true" t="shared" si="9" ref="J55:J63">+CEILING(IF($J$52&lt;=G55,F55*0.3,0),0.05)</f>
        <v>0</v>
      </c>
      <c r="K55" s="23">
        <f aca="true" t="shared" si="10" ref="K55:K63">+CEILING(IF($K$52&lt;=G55,F55*0.3,0),0.05)</f>
        <v>0</v>
      </c>
      <c r="L55" s="23">
        <f aca="true" t="shared" si="11" ref="L55:L63">+CEILING(IF($L$52&lt;=G55,F55*0.3,0),0.05)</f>
        <v>0</v>
      </c>
      <c r="M55" s="23">
        <f aca="true" t="shared" si="12" ref="M55:M63">CEILING(IF($M$52&lt;=G55,F55*0.3,0),0.05)</f>
        <v>0</v>
      </c>
    </row>
    <row r="56" spans="1:13" ht="12.75">
      <c r="A56" s="15">
        <v>3</v>
      </c>
      <c r="B56" s="55" t="s">
        <v>155</v>
      </c>
      <c r="C56" s="11" t="s">
        <v>17</v>
      </c>
      <c r="D56" s="11" t="s">
        <v>45</v>
      </c>
      <c r="E56" s="20">
        <v>2012</v>
      </c>
      <c r="F56" s="21">
        <v>1.2</v>
      </c>
      <c r="G56" s="8">
        <v>2015</v>
      </c>
      <c r="I56" s="23">
        <f t="shared" si="8"/>
        <v>0.4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5" t="s">
        <v>321</v>
      </c>
      <c r="C57" s="11" t="s">
        <v>18</v>
      </c>
      <c r="D57" s="11" t="s">
        <v>22</v>
      </c>
      <c r="E57" s="20">
        <v>2014</v>
      </c>
      <c r="F57" s="21">
        <v>3.95</v>
      </c>
      <c r="G57" s="8">
        <v>2015</v>
      </c>
      <c r="I57" s="23">
        <f t="shared" si="8"/>
        <v>1.2000000000000002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55"/>
      <c r="D58" s="11"/>
      <c r="E58" s="20"/>
      <c r="F58" s="21"/>
      <c r="G58" s="8"/>
      <c r="I58" s="23">
        <f t="shared" si="8"/>
        <v>0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55"/>
      <c r="D59" s="56"/>
      <c r="E59" s="20"/>
      <c r="F59" s="21"/>
      <c r="G59" s="8"/>
      <c r="I59" s="23">
        <f>+CEILING(IF($I$52=E59,F59,IF($I$52&lt;=G59,F59*0.3,0)),0.05)</f>
        <v>0</v>
      </c>
      <c r="J59" s="23">
        <f>+CEILING(IF($J$52&lt;=G59,F59*0.3,0),0.05)</f>
        <v>0</v>
      </c>
      <c r="K59" s="23">
        <f>+CEILING(IF($K$52&lt;=G59,F59*0.3,0),0.05)</f>
        <v>0</v>
      </c>
      <c r="L59" s="23">
        <f>+CEILING(IF($L$52&lt;=G59,F59*0.3,0),0.05)</f>
        <v>0</v>
      </c>
      <c r="M59" s="23">
        <f>CEILING(IF($M$52&lt;=G59,F59*0.3,0),0.05)</f>
        <v>0</v>
      </c>
    </row>
    <row r="60" spans="1:13" ht="12.75">
      <c r="A60" s="15">
        <v>7</v>
      </c>
      <c r="B60" s="55"/>
      <c r="C60" s="56"/>
      <c r="D60" s="56"/>
      <c r="E60" s="20"/>
      <c r="F60" s="21"/>
      <c r="G60" s="8"/>
      <c r="I60" s="23">
        <f>+CEILING(IF($I$52=E60,F60,IF($I$52&lt;=G60,F60*0.3,0)),0.05)</f>
        <v>0</v>
      </c>
      <c r="J60" s="23">
        <f>+CEILING(IF($J$52&lt;=G60,F60*0.3,0),0.05)</f>
        <v>0</v>
      </c>
      <c r="K60" s="23">
        <f>+CEILING(IF($K$52&lt;=G60,F60*0.3,0),0.05)</f>
        <v>0</v>
      </c>
      <c r="L60" s="23">
        <f>+CEILING(IF($L$52&lt;=G60,F60*0.3,0),0.05)</f>
        <v>0</v>
      </c>
      <c r="M60" s="23">
        <f>CEILING(IF($M$52&lt;=G60,F60*0.3,0),0.05)</f>
        <v>0</v>
      </c>
    </row>
    <row r="61" spans="1:13" ht="12.75">
      <c r="A61" s="15">
        <v>8</v>
      </c>
      <c r="B61" s="30"/>
      <c r="D61" s="11"/>
      <c r="E61" s="20"/>
      <c r="F61" s="21"/>
      <c r="G61" s="8"/>
      <c r="I61" s="23">
        <f>+CEILING(IF($I$52=E61,F61,IF($I$52&lt;=G61,F61*0.3,0)),0.05)</f>
        <v>0</v>
      </c>
      <c r="J61" s="23">
        <f>+CEILING(IF($J$52&lt;=G61,F61*0.3,0),0.05)</f>
        <v>0</v>
      </c>
      <c r="K61" s="23">
        <f>+CEILING(IF($K$52&lt;=G61,F61*0.3,0),0.05)</f>
        <v>0</v>
      </c>
      <c r="L61" s="23">
        <f>+CEILING(IF($L$52&lt;=G61,F61*0.3,0),0.05)</f>
        <v>0</v>
      </c>
      <c r="M61" s="23">
        <f>CEILING(IF($M$52&lt;=G61,F61*0.3,0),0.05)</f>
        <v>0</v>
      </c>
    </row>
    <row r="62" spans="1:13" ht="12.75">
      <c r="A62" s="15">
        <v>9</v>
      </c>
      <c r="B62" s="30"/>
      <c r="D62" s="11"/>
      <c r="E62" s="20"/>
      <c r="F62" s="21"/>
      <c r="G62" s="8"/>
      <c r="I62" s="23">
        <f>+CEILING(IF($I$52=E62,F62,IF($I$52&lt;=G62,F62*0.3,0)),0.05)</f>
        <v>0</v>
      </c>
      <c r="J62" s="23">
        <f>+CEILING(IF($J$52&lt;=G62,F62*0.3,0),0.05)</f>
        <v>0</v>
      </c>
      <c r="K62" s="23">
        <f>+CEILING(IF($K$52&lt;=G62,F62*0.3,0),0.05)</f>
        <v>0</v>
      </c>
      <c r="L62" s="23">
        <f>+CEILING(IF($L$52&lt;=G62,F62*0.3,0),0.05)</f>
        <v>0</v>
      </c>
      <c r="M62" s="23">
        <f>CEILING(IF($M$52&lt;=G62,F62*0.3,0),0.05)</f>
        <v>0</v>
      </c>
    </row>
    <row r="63" spans="1:13" ht="12.75">
      <c r="A63" s="15">
        <v>10</v>
      </c>
      <c r="B63" s="22"/>
      <c r="D63" s="11"/>
      <c r="E63" s="20"/>
      <c r="F63" s="21"/>
      <c r="G63" s="8"/>
      <c r="I63" s="23">
        <f t="shared" si="8"/>
        <v>0</v>
      </c>
      <c r="J63" s="23">
        <f t="shared" si="9"/>
        <v>0</v>
      </c>
      <c r="K63" s="23">
        <f t="shared" si="10"/>
        <v>0</v>
      </c>
      <c r="L63" s="23">
        <f t="shared" si="11"/>
        <v>0</v>
      </c>
      <c r="M63" s="23">
        <f t="shared" si="12"/>
        <v>0</v>
      </c>
    </row>
    <row r="64" spans="9:13" ht="7.5" customHeight="1">
      <c r="I64" s="22"/>
      <c r="J64" s="22"/>
      <c r="K64" s="22"/>
      <c r="L64" s="22"/>
      <c r="M64" s="22"/>
    </row>
    <row r="65" spans="9:13" ht="12.75">
      <c r="I65" s="24">
        <f>+SUM(I54:I64)</f>
        <v>4.15</v>
      </c>
      <c r="J65" s="24">
        <f>+SUM(J54:J64)</f>
        <v>0</v>
      </c>
      <c r="K65" s="24">
        <f>+SUM(K54:K64)</f>
        <v>0</v>
      </c>
      <c r="L65" s="24">
        <f>+SUM(L54:L64)</f>
        <v>0</v>
      </c>
      <c r="M65" s="24">
        <f>+SUM(M54:M64)</f>
        <v>0</v>
      </c>
    </row>
    <row r="66" spans="9:13" ht="12.75">
      <c r="I66" s="18"/>
      <c r="J66" s="18"/>
      <c r="K66" s="18"/>
      <c r="L66" s="18"/>
      <c r="M66" s="18"/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2005-10-15T04:32:51Z</cp:lastPrinted>
  <dcterms:created xsi:type="dcterms:W3CDTF">2002-01-02T00:23:28Z</dcterms:created>
  <dcterms:modified xsi:type="dcterms:W3CDTF">2016-03-23T03:46:38Z</dcterms:modified>
  <cp:category/>
  <cp:version/>
  <cp:contentType/>
  <cp:contentStatus/>
</cp:coreProperties>
</file>